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-15" yWindow="-15" windowWidth="15480" windowHeight="10680"/>
  </bookViews>
  <sheets>
    <sheet name="SLMSURV3" sheetId="1" r:id="rId1"/>
  </sheets>
  <definedNames>
    <definedName name="_xlnm.Print_Area">SLMSURV3!$A$1:$T$62</definedName>
    <definedName name="Print_Area_MI" localSheetId="0">SLMSURV3!$A$1:$T$62</definedName>
    <definedName name="PRINT_AREA_MI">SLMSURV3!$A$1:$T$62</definedName>
  </definedNames>
  <calcPr calcId="125725"/>
</workbook>
</file>

<file path=xl/calcChain.xml><?xml version="1.0" encoding="utf-8"?>
<calcChain xmlns="http://schemas.openxmlformats.org/spreadsheetml/2006/main">
  <c r="BQ9" i="1"/>
  <c r="O7"/>
  <c r="L177"/>
  <c r="B73" s="1"/>
  <c r="E102"/>
  <c r="H73"/>
  <c r="B102"/>
  <c r="AO143"/>
  <c r="AP143"/>
  <c r="AL143" s="1"/>
  <c r="AI143" s="1"/>
  <c r="B74"/>
  <c r="E74"/>
  <c r="H74"/>
  <c r="E75"/>
  <c r="H75"/>
  <c r="B75"/>
  <c r="L75" s="1"/>
  <c r="B112" s="1"/>
  <c r="E76"/>
  <c r="H76"/>
  <c r="B76"/>
  <c r="L76" s="1"/>
  <c r="B113" s="1"/>
  <c r="E77"/>
  <c r="H77"/>
  <c r="B77"/>
  <c r="L77" s="1"/>
  <c r="B114" s="1"/>
  <c r="E78"/>
  <c r="H78"/>
  <c r="B78"/>
  <c r="L78" s="1"/>
  <c r="B115" s="1"/>
  <c r="E81"/>
  <c r="H81"/>
  <c r="B81"/>
  <c r="L81" s="1"/>
  <c r="B118" s="1"/>
  <c r="E82"/>
  <c r="H82"/>
  <c r="B82"/>
  <c r="L82" s="1"/>
  <c r="B119" s="1"/>
  <c r="E83"/>
  <c r="H83"/>
  <c r="B83"/>
  <c r="L83" s="1"/>
  <c r="B120" s="1"/>
  <c r="E84"/>
  <c r="H84"/>
  <c r="B84"/>
  <c r="L84" s="1"/>
  <c r="B121" s="1"/>
  <c r="E87"/>
  <c r="H87"/>
  <c r="B87"/>
  <c r="L87" s="1"/>
  <c r="B124" s="1"/>
  <c r="E88"/>
  <c r="H88"/>
  <c r="B88"/>
  <c r="L88" s="1"/>
  <c r="B125" s="1"/>
  <c r="E89"/>
  <c r="H89"/>
  <c r="B89"/>
  <c r="L89" s="1"/>
  <c r="B126" s="1"/>
  <c r="E90"/>
  <c r="H90"/>
  <c r="B90"/>
  <c r="L90" s="1"/>
  <c r="B127" s="1"/>
  <c r="E93"/>
  <c r="H93"/>
  <c r="B93"/>
  <c r="L93" s="1"/>
  <c r="B130" s="1"/>
  <c r="E94"/>
  <c r="H94"/>
  <c r="B94"/>
  <c r="L94" s="1"/>
  <c r="B131" s="1"/>
  <c r="E95"/>
  <c r="H95"/>
  <c r="B95"/>
  <c r="L95" s="1"/>
  <c r="B132" s="1"/>
  <c r="E96"/>
  <c r="H96"/>
  <c r="B96"/>
  <c r="L96" s="1"/>
  <c r="B133" s="1"/>
  <c r="B97"/>
  <c r="C97" s="1"/>
  <c r="E97"/>
  <c r="H97"/>
  <c r="B98"/>
  <c r="C98" s="1"/>
  <c r="E98"/>
  <c r="H98"/>
  <c r="C75"/>
  <c r="C76"/>
  <c r="C77"/>
  <c r="C78"/>
  <c r="C81"/>
  <c r="C82"/>
  <c r="AO144"/>
  <c r="AP144"/>
  <c r="AL144"/>
  <c r="AI144" s="1"/>
  <c r="AM144"/>
  <c r="AO145"/>
  <c r="AP145"/>
  <c r="AO146"/>
  <c r="AP146"/>
  <c r="AL146"/>
  <c r="AI146" s="1"/>
  <c r="AO147"/>
  <c r="AP147"/>
  <c r="AO148"/>
  <c r="AP148"/>
  <c r="AL148" s="1"/>
  <c r="AI148" s="1"/>
  <c r="AM148"/>
  <c r="AO151"/>
  <c r="AP151"/>
  <c r="AO152"/>
  <c r="AM152" s="1"/>
  <c r="AP152"/>
  <c r="AL152" s="1"/>
  <c r="AI152" s="1"/>
  <c r="AO153"/>
  <c r="AP153"/>
  <c r="AO154"/>
  <c r="AP154"/>
  <c r="AL154"/>
  <c r="AI154" s="1"/>
  <c r="AM154"/>
  <c r="AO157"/>
  <c r="AP157"/>
  <c r="AO158"/>
  <c r="AM158" s="1"/>
  <c r="AP158"/>
  <c r="AL158"/>
  <c r="AI158" s="1"/>
  <c r="AO159"/>
  <c r="AP159"/>
  <c r="AO160"/>
  <c r="AP160"/>
  <c r="AL160" s="1"/>
  <c r="AI160" s="1"/>
  <c r="AM160"/>
  <c r="AO163"/>
  <c r="AP163"/>
  <c r="AO164"/>
  <c r="AP164"/>
  <c r="AL164" s="1"/>
  <c r="AI164" s="1"/>
  <c r="AO165"/>
  <c r="AP165"/>
  <c r="AO166"/>
  <c r="AP166"/>
  <c r="AL166"/>
  <c r="AI166" s="1"/>
  <c r="AM166"/>
  <c r="AO167"/>
  <c r="AP167"/>
  <c r="AO168"/>
  <c r="AP168"/>
  <c r="AM168"/>
  <c r="L179"/>
  <c r="L178"/>
  <c r="AP170"/>
  <c r="AO170"/>
  <c r="AM170"/>
  <c r="AL170"/>
  <c r="AI170" s="1"/>
  <c r="E100"/>
  <c r="H100"/>
  <c r="B100"/>
  <c r="L100" s="1"/>
  <c r="B137" s="1"/>
  <c r="AP169"/>
  <c r="AO169"/>
  <c r="AM169"/>
  <c r="E99"/>
  <c r="H99"/>
  <c r="B99"/>
  <c r="L99" s="1"/>
  <c r="AP162"/>
  <c r="AO162"/>
  <c r="AM162" s="1"/>
  <c r="AL162"/>
  <c r="AI162" s="1"/>
  <c r="B92"/>
  <c r="E92"/>
  <c r="H92"/>
  <c r="AP161"/>
  <c r="AO161"/>
  <c r="AM161"/>
  <c r="B91"/>
  <c r="E91"/>
  <c r="H91"/>
  <c r="AP156"/>
  <c r="AO156"/>
  <c r="AM156" s="1"/>
  <c r="AL156"/>
  <c r="AI156" s="1"/>
  <c r="B86"/>
  <c r="E86"/>
  <c r="H86"/>
  <c r="AP155"/>
  <c r="AO155"/>
  <c r="AM155"/>
  <c r="B85"/>
  <c r="E85"/>
  <c r="H85"/>
  <c r="AP150"/>
  <c r="AL150" s="1"/>
  <c r="AI150" s="1"/>
  <c r="AO150"/>
  <c r="AM150" s="1"/>
  <c r="B80"/>
  <c r="E80"/>
  <c r="H80"/>
  <c r="AP149"/>
  <c r="AO149"/>
  <c r="AM149" s="1"/>
  <c r="B79"/>
  <c r="E79"/>
  <c r="H79"/>
  <c r="P40"/>
  <c r="AC135"/>
  <c r="P39"/>
  <c r="AC134"/>
  <c r="AC133"/>
  <c r="AC132"/>
  <c r="P36"/>
  <c r="AC131"/>
  <c r="P35"/>
  <c r="AC130"/>
  <c r="AC129"/>
  <c r="AC128"/>
  <c r="P32"/>
  <c r="AC127"/>
  <c r="P31"/>
  <c r="AC126"/>
  <c r="P30"/>
  <c r="AC125"/>
  <c r="P29"/>
  <c r="AC124"/>
  <c r="AC123"/>
  <c r="AC122"/>
  <c r="P26"/>
  <c r="AC121"/>
  <c r="P25"/>
  <c r="AC120"/>
  <c r="P24"/>
  <c r="AC119"/>
  <c r="P23"/>
  <c r="AC118"/>
  <c r="AC117"/>
  <c r="AC116"/>
  <c r="P20"/>
  <c r="AC115"/>
  <c r="P19"/>
  <c r="AC114"/>
  <c r="AC113"/>
  <c r="AC112"/>
  <c r="P16"/>
  <c r="AC111"/>
  <c r="AC110"/>
  <c r="E103"/>
  <c r="B103"/>
  <c r="V104"/>
  <c r="U104"/>
  <c r="B62"/>
  <c r="A62" s="1"/>
  <c r="BO58"/>
  <c r="BO60"/>
  <c r="BN59"/>
  <c r="BP59"/>
  <c r="BI58"/>
  <c r="BI60"/>
  <c r="BG58" s="1"/>
  <c r="BJ59"/>
  <c r="BH59"/>
  <c r="BO53"/>
  <c r="BO55"/>
  <c r="BN54"/>
  <c r="BP54"/>
  <c r="BI53"/>
  <c r="BI55"/>
  <c r="BG53" s="1"/>
  <c r="BJ54"/>
  <c r="BH54"/>
  <c r="BU48"/>
  <c r="BU50"/>
  <c r="BS48" s="1"/>
  <c r="BT49"/>
  <c r="BV49"/>
  <c r="BO48"/>
  <c r="BO50"/>
  <c r="BN49"/>
  <c r="BP49"/>
  <c r="BI48"/>
  <c r="BI50"/>
  <c r="BG48" s="1"/>
  <c r="BJ49"/>
  <c r="BH49"/>
  <c r="BU43"/>
  <c r="BU45"/>
  <c r="BS43" s="1"/>
  <c r="BT44"/>
  <c r="BV44"/>
  <c r="BO43"/>
  <c r="BO45"/>
  <c r="BN44"/>
  <c r="BP44"/>
  <c r="BI43"/>
  <c r="BI45"/>
  <c r="BJ44"/>
  <c r="BH44"/>
  <c r="BG43"/>
  <c r="BG45" s="1"/>
  <c r="BC43"/>
  <c r="BC45"/>
  <c r="BD44"/>
  <c r="BB44"/>
  <c r="BU38"/>
  <c r="BU40"/>
  <c r="BT39"/>
  <c r="BV39"/>
  <c r="BO38"/>
  <c r="BO40"/>
  <c r="BM38" s="1"/>
  <c r="BN39"/>
  <c r="BP39"/>
  <c r="BI38"/>
  <c r="BI40"/>
  <c r="BJ39"/>
  <c r="BH39"/>
  <c r="R40"/>
  <c r="R39"/>
  <c r="R36"/>
  <c r="BO33"/>
  <c r="BO35"/>
  <c r="BM33" s="1"/>
  <c r="BN34"/>
  <c r="BP34"/>
  <c r="BI33"/>
  <c r="BI35"/>
  <c r="BJ34"/>
  <c r="BH34"/>
  <c r="BC33"/>
  <c r="BC35"/>
  <c r="BA33" s="1"/>
  <c r="BD34"/>
  <c r="BB34"/>
  <c r="R35"/>
  <c r="R32"/>
  <c r="R31"/>
  <c r="BU28"/>
  <c r="BU30"/>
  <c r="BT29"/>
  <c r="BV29"/>
  <c r="BS28"/>
  <c r="BS30" s="1"/>
  <c r="BO28"/>
  <c r="BO30"/>
  <c r="BN29"/>
  <c r="BP29"/>
  <c r="BI28"/>
  <c r="BI30"/>
  <c r="BJ29"/>
  <c r="BH29"/>
  <c r="BG28"/>
  <c r="BG30" s="1"/>
  <c r="BC28"/>
  <c r="BC30"/>
  <c r="BD29"/>
  <c r="BB29"/>
  <c r="R30"/>
  <c r="BK29"/>
  <c r="R29"/>
  <c r="BW28"/>
  <c r="BH28"/>
  <c r="R26"/>
  <c r="BO23"/>
  <c r="BO25"/>
  <c r="BN24"/>
  <c r="BP24"/>
  <c r="BM23"/>
  <c r="BM25" s="1"/>
  <c r="BI23"/>
  <c r="BI25"/>
  <c r="BJ24"/>
  <c r="BH24"/>
  <c r="BC23"/>
  <c r="BC25"/>
  <c r="BD24"/>
  <c r="BB24"/>
  <c r="R25"/>
  <c r="R24"/>
  <c r="R23"/>
  <c r="BO18"/>
  <c r="BO20"/>
  <c r="BN19"/>
  <c r="BP19"/>
  <c r="BI18"/>
  <c r="BI20"/>
  <c r="BJ19"/>
  <c r="BH19"/>
  <c r="R20"/>
  <c r="R19"/>
  <c r="R16"/>
  <c r="BO13"/>
  <c r="BO15"/>
  <c r="BN14"/>
  <c r="BP14"/>
  <c r="BM13"/>
  <c r="BP15" s="1"/>
  <c r="BI13"/>
  <c r="BI15"/>
  <c r="BJ14"/>
  <c r="BH14"/>
  <c r="R15"/>
  <c r="BQ14"/>
  <c r="BN13"/>
  <c r="BM18" l="1"/>
  <c r="BA23"/>
  <c r="BA25" s="1"/>
  <c r="BM24"/>
  <c r="C94"/>
  <c r="L91"/>
  <c r="B128" s="1"/>
  <c r="E128" s="1"/>
  <c r="C90"/>
  <c r="C88"/>
  <c r="L85"/>
  <c r="B122" s="1"/>
  <c r="E122" s="1"/>
  <c r="C84"/>
  <c r="L79"/>
  <c r="B116" s="1"/>
  <c r="M92"/>
  <c r="L129" s="1"/>
  <c r="M86"/>
  <c r="M80"/>
  <c r="M74"/>
  <c r="BA34"/>
  <c r="BA35"/>
  <c r="BB33"/>
  <c r="BD35"/>
  <c r="BE33"/>
  <c r="BS45"/>
  <c r="BV45"/>
  <c r="BW44"/>
  <c r="BV43"/>
  <c r="BG50"/>
  <c r="BG49"/>
  <c r="BJ50"/>
  <c r="BJ48"/>
  <c r="BK55"/>
  <c r="BG55"/>
  <c r="BK53"/>
  <c r="BJ55"/>
  <c r="BK54"/>
  <c r="BH53"/>
  <c r="BK60"/>
  <c r="BG60"/>
  <c r="BK58"/>
  <c r="BJ60"/>
  <c r="BG59"/>
  <c r="BH58"/>
  <c r="BM20"/>
  <c r="BQ19"/>
  <c r="BQ18"/>
  <c r="BP20"/>
  <c r="BN18"/>
  <c r="BM39"/>
  <c r="BN38"/>
  <c r="M73"/>
  <c r="L110" s="1"/>
  <c r="O110" s="1"/>
  <c r="C73"/>
  <c r="BM34"/>
  <c r="BN33"/>
  <c r="BM35"/>
  <c r="BS50"/>
  <c r="BS49"/>
  <c r="BM15"/>
  <c r="BQ13"/>
  <c r="BD23"/>
  <c r="BD25"/>
  <c r="BK28"/>
  <c r="BJ30"/>
  <c r="BK44"/>
  <c r="L80"/>
  <c r="B117" s="1"/>
  <c r="H117" s="1"/>
  <c r="L86"/>
  <c r="B123" s="1"/>
  <c r="L92"/>
  <c r="B129" s="1"/>
  <c r="H129" s="1"/>
  <c r="M99"/>
  <c r="L136" s="1"/>
  <c r="AL169"/>
  <c r="AI169" s="1"/>
  <c r="AL168"/>
  <c r="AI168" s="1"/>
  <c r="M97"/>
  <c r="L134" s="1"/>
  <c r="H102"/>
  <c r="O85" s="1"/>
  <c r="P122" s="1"/>
  <c r="E73"/>
  <c r="O73" s="1"/>
  <c r="P110" s="1"/>
  <c r="AL149"/>
  <c r="AI149" s="1"/>
  <c r="AL155"/>
  <c r="AI155" s="1"/>
  <c r="AL161"/>
  <c r="AI161" s="1"/>
  <c r="AM164"/>
  <c r="AM146"/>
  <c r="L74"/>
  <c r="BM53"/>
  <c r="BM58"/>
  <c r="E116"/>
  <c r="B111"/>
  <c r="M98"/>
  <c r="L135" s="1"/>
  <c r="M135" s="1"/>
  <c r="L117"/>
  <c r="L123"/>
  <c r="M123" s="1"/>
  <c r="M100"/>
  <c r="O100"/>
  <c r="P137" s="1"/>
  <c r="C95"/>
  <c r="C93"/>
  <c r="C89"/>
  <c r="C87"/>
  <c r="C83"/>
  <c r="L98"/>
  <c r="M96"/>
  <c r="O96"/>
  <c r="P133" s="1"/>
  <c r="M95"/>
  <c r="O95"/>
  <c r="P132" s="1"/>
  <c r="M94"/>
  <c r="O94"/>
  <c r="P131" s="1"/>
  <c r="M93"/>
  <c r="O93"/>
  <c r="P130" s="1"/>
  <c r="R130" s="1"/>
  <c r="M90"/>
  <c r="O90"/>
  <c r="P127" s="1"/>
  <c r="M89"/>
  <c r="O89"/>
  <c r="P126" s="1"/>
  <c r="M88"/>
  <c r="O88"/>
  <c r="P125" s="1"/>
  <c r="M87"/>
  <c r="O87"/>
  <c r="P124" s="1"/>
  <c r="M84"/>
  <c r="O84"/>
  <c r="P121" s="1"/>
  <c r="M83"/>
  <c r="O83"/>
  <c r="P120" s="1"/>
  <c r="M82"/>
  <c r="O82"/>
  <c r="P119" s="1"/>
  <c r="M81"/>
  <c r="O81"/>
  <c r="P118" s="1"/>
  <c r="M78"/>
  <c r="O78"/>
  <c r="P115" s="1"/>
  <c r="R115" s="1"/>
  <c r="M77"/>
  <c r="L114" s="1"/>
  <c r="O114" s="1"/>
  <c r="O77"/>
  <c r="P114" s="1"/>
  <c r="R114" s="1"/>
  <c r="M76"/>
  <c r="O76"/>
  <c r="P113" s="1"/>
  <c r="M75"/>
  <c r="O75"/>
  <c r="P112" s="1"/>
  <c r="R112" s="1"/>
  <c r="C74"/>
  <c r="L111"/>
  <c r="BQ25"/>
  <c r="BN25"/>
  <c r="BQ24"/>
  <c r="BQ23"/>
  <c r="BN23"/>
  <c r="BW30"/>
  <c r="BT30"/>
  <c r="BS29"/>
  <c r="BV28"/>
  <c r="BQ35"/>
  <c r="BN35"/>
  <c r="BQ34"/>
  <c r="BP33"/>
  <c r="BQ40"/>
  <c r="BN40"/>
  <c r="BP40"/>
  <c r="BQ39"/>
  <c r="BP38"/>
  <c r="BG23"/>
  <c r="BM28"/>
  <c r="BG33"/>
  <c r="BA43"/>
  <c r="BM48"/>
  <c r="BQ15"/>
  <c r="BN15"/>
  <c r="BM14"/>
  <c r="BP13"/>
  <c r="BQ20"/>
  <c r="BM19"/>
  <c r="BP18"/>
  <c r="BE25"/>
  <c r="BB25"/>
  <c r="BE24"/>
  <c r="BE23"/>
  <c r="BB23"/>
  <c r="BK30"/>
  <c r="BH30"/>
  <c r="BG29"/>
  <c r="BJ28"/>
  <c r="BE35"/>
  <c r="BB35"/>
  <c r="BE34"/>
  <c r="BD33"/>
  <c r="BK45"/>
  <c r="BH45"/>
  <c r="BG44"/>
  <c r="BK43"/>
  <c r="BH43"/>
  <c r="BJ45"/>
  <c r="BJ43"/>
  <c r="BW50"/>
  <c r="BT50"/>
  <c r="BW49"/>
  <c r="BW48"/>
  <c r="BT48"/>
  <c r="BV50"/>
  <c r="BV48"/>
  <c r="BG13"/>
  <c r="BG18"/>
  <c r="BN20"/>
  <c r="BP23"/>
  <c r="BP25"/>
  <c r="BT28"/>
  <c r="BW29"/>
  <c r="BA28"/>
  <c r="BV30"/>
  <c r="BQ33"/>
  <c r="BP35"/>
  <c r="BQ38"/>
  <c r="BG38"/>
  <c r="BM40"/>
  <c r="BW45"/>
  <c r="BT45"/>
  <c r="BS44"/>
  <c r="BW43"/>
  <c r="BT43"/>
  <c r="BK50"/>
  <c r="BH50"/>
  <c r="BK49"/>
  <c r="BK48"/>
  <c r="BH48"/>
  <c r="BQ55"/>
  <c r="BN55"/>
  <c r="BQ54"/>
  <c r="BP53"/>
  <c r="BP55"/>
  <c r="BM55"/>
  <c r="BM54"/>
  <c r="BQ53"/>
  <c r="BN53"/>
  <c r="BQ60"/>
  <c r="BN60"/>
  <c r="BM59"/>
  <c r="BP58"/>
  <c r="BP60"/>
  <c r="BM60"/>
  <c r="BQ59"/>
  <c r="BQ58"/>
  <c r="BN58"/>
  <c r="BS38"/>
  <c r="BM43"/>
  <c r="H116"/>
  <c r="M79"/>
  <c r="O117"/>
  <c r="M117"/>
  <c r="O123"/>
  <c r="R137"/>
  <c r="S137"/>
  <c r="BJ53"/>
  <c r="BG54"/>
  <c r="BH55"/>
  <c r="BJ58"/>
  <c r="BK59"/>
  <c r="BH60"/>
  <c r="E117"/>
  <c r="H123"/>
  <c r="E123"/>
  <c r="E129"/>
  <c r="H122"/>
  <c r="H128"/>
  <c r="AL167"/>
  <c r="AI167" s="1"/>
  <c r="AM167"/>
  <c r="AL163"/>
  <c r="AI163" s="1"/>
  <c r="AM163"/>
  <c r="AL157"/>
  <c r="AI157" s="1"/>
  <c r="AM157"/>
  <c r="AL151"/>
  <c r="AI151" s="1"/>
  <c r="AM151"/>
  <c r="AL145"/>
  <c r="AI145" s="1"/>
  <c r="AM145"/>
  <c r="S133"/>
  <c r="R133"/>
  <c r="S132"/>
  <c r="R132"/>
  <c r="S131"/>
  <c r="R131"/>
  <c r="S130"/>
  <c r="S127"/>
  <c r="R127"/>
  <c r="S126"/>
  <c r="R126"/>
  <c r="S125"/>
  <c r="R125"/>
  <c r="S124"/>
  <c r="R124"/>
  <c r="S121"/>
  <c r="R121"/>
  <c r="S120"/>
  <c r="R120"/>
  <c r="S119"/>
  <c r="R119"/>
  <c r="S118"/>
  <c r="R118"/>
  <c r="S115"/>
  <c r="S113"/>
  <c r="R113"/>
  <c r="S112"/>
  <c r="H111"/>
  <c r="E111"/>
  <c r="O80"/>
  <c r="M85"/>
  <c r="O86"/>
  <c r="M91"/>
  <c r="O92"/>
  <c r="B136"/>
  <c r="L137"/>
  <c r="O137" s="1"/>
  <c r="E137"/>
  <c r="H137"/>
  <c r="AL165"/>
  <c r="AI165" s="1"/>
  <c r="AM165"/>
  <c r="AL159"/>
  <c r="AI159" s="1"/>
  <c r="AM159"/>
  <c r="AL153"/>
  <c r="AI153" s="1"/>
  <c r="AM153"/>
  <c r="AL147"/>
  <c r="AI147" s="1"/>
  <c r="AM147"/>
  <c r="M134"/>
  <c r="O134"/>
  <c r="M110"/>
  <c r="AM143"/>
  <c r="C96"/>
  <c r="C100" s="1"/>
  <c r="L97"/>
  <c r="L133"/>
  <c r="O133" s="1"/>
  <c r="E133"/>
  <c r="H133"/>
  <c r="L132"/>
  <c r="O132" s="1"/>
  <c r="E132"/>
  <c r="H132"/>
  <c r="L131"/>
  <c r="O131" s="1"/>
  <c r="E131"/>
  <c r="H131"/>
  <c r="L130"/>
  <c r="O130" s="1"/>
  <c r="E130"/>
  <c r="H130"/>
  <c r="L127"/>
  <c r="O127" s="1"/>
  <c r="E127"/>
  <c r="H127"/>
  <c r="L126"/>
  <c r="O126" s="1"/>
  <c r="E126"/>
  <c r="H126"/>
  <c r="L125"/>
  <c r="O125" s="1"/>
  <c r="E125"/>
  <c r="H125"/>
  <c r="L124"/>
  <c r="O124" s="1"/>
  <c r="E124"/>
  <c r="H124"/>
  <c r="L121"/>
  <c r="O121" s="1"/>
  <c r="E121"/>
  <c r="H121"/>
  <c r="L120"/>
  <c r="O120" s="1"/>
  <c r="E120"/>
  <c r="H120"/>
  <c r="L119"/>
  <c r="O119" s="1"/>
  <c r="E119"/>
  <c r="H119"/>
  <c r="L118"/>
  <c r="O118" s="1"/>
  <c r="E118"/>
  <c r="H118"/>
  <c r="L115"/>
  <c r="O115" s="1"/>
  <c r="E115"/>
  <c r="H115"/>
  <c r="E114"/>
  <c r="H114"/>
  <c r="L113"/>
  <c r="O113" s="1"/>
  <c r="E113"/>
  <c r="H113"/>
  <c r="E112"/>
  <c r="H112"/>
  <c r="S114" l="1"/>
  <c r="BA24"/>
  <c r="O135"/>
  <c r="O129"/>
  <c r="R92" s="1"/>
  <c r="M129"/>
  <c r="S110"/>
  <c r="R110"/>
  <c r="L73"/>
  <c r="S122"/>
  <c r="R122"/>
  <c r="S85" s="1"/>
  <c r="O74"/>
  <c r="O98"/>
  <c r="P135" s="1"/>
  <c r="O91"/>
  <c r="P128" s="1"/>
  <c r="H103"/>
  <c r="E104"/>
  <c r="E105" s="1"/>
  <c r="B104"/>
  <c r="H104"/>
  <c r="O97"/>
  <c r="P134" s="1"/>
  <c r="O79"/>
  <c r="P116" s="1"/>
  <c r="O99"/>
  <c r="P100"/>
  <c r="P96"/>
  <c r="P95"/>
  <c r="B110"/>
  <c r="P73"/>
  <c r="L112"/>
  <c r="P75"/>
  <c r="O136"/>
  <c r="M136"/>
  <c r="M113"/>
  <c r="V113" s="1"/>
  <c r="M114"/>
  <c r="V114" s="1"/>
  <c r="M115"/>
  <c r="V115" s="1"/>
  <c r="M118"/>
  <c r="V118" s="1"/>
  <c r="M119"/>
  <c r="R82" s="1"/>
  <c r="M120"/>
  <c r="V120" s="1"/>
  <c r="M121"/>
  <c r="V121" s="1"/>
  <c r="M124"/>
  <c r="R87" s="1"/>
  <c r="M125"/>
  <c r="V125" s="1"/>
  <c r="M126"/>
  <c r="V126" s="1"/>
  <c r="M127"/>
  <c r="V127" s="1"/>
  <c r="M130"/>
  <c r="V130" s="1"/>
  <c r="M131"/>
  <c r="R94" s="1"/>
  <c r="M132"/>
  <c r="R95" s="1"/>
  <c r="M133"/>
  <c r="V133" s="1"/>
  <c r="P76"/>
  <c r="P77"/>
  <c r="P78"/>
  <c r="P81"/>
  <c r="P82"/>
  <c r="P83"/>
  <c r="P84"/>
  <c r="P87"/>
  <c r="P88"/>
  <c r="P89"/>
  <c r="P90"/>
  <c r="P93"/>
  <c r="P94"/>
  <c r="O111"/>
  <c r="M111"/>
  <c r="B135"/>
  <c r="BD45"/>
  <c r="BA45"/>
  <c r="BA44"/>
  <c r="BD43"/>
  <c r="BE45"/>
  <c r="BE44"/>
  <c r="BB43"/>
  <c r="BB45"/>
  <c r="BE43"/>
  <c r="BP30"/>
  <c r="BM30"/>
  <c r="BM29"/>
  <c r="BQ28"/>
  <c r="BN28"/>
  <c r="BQ30"/>
  <c r="BN30"/>
  <c r="BQ29"/>
  <c r="BP28"/>
  <c r="S75"/>
  <c r="S100"/>
  <c r="H136"/>
  <c r="E136"/>
  <c r="L128"/>
  <c r="P123"/>
  <c r="P86"/>
  <c r="BV40"/>
  <c r="BS40"/>
  <c r="BT40"/>
  <c r="BW39"/>
  <c r="BW38"/>
  <c r="BT38"/>
  <c r="BW40"/>
  <c r="BS39"/>
  <c r="BV38"/>
  <c r="BJ40"/>
  <c r="BG40"/>
  <c r="BK40"/>
  <c r="BK39"/>
  <c r="BK38"/>
  <c r="BH38"/>
  <c r="BG39"/>
  <c r="BJ38"/>
  <c r="BH40"/>
  <c r="BJ15"/>
  <c r="BG15"/>
  <c r="BG14"/>
  <c r="BK13"/>
  <c r="BH13"/>
  <c r="BH15"/>
  <c r="BJ13"/>
  <c r="BK15"/>
  <c r="BK14"/>
  <c r="S76"/>
  <c r="S77"/>
  <c r="S78"/>
  <c r="S81"/>
  <c r="S82"/>
  <c r="R83"/>
  <c r="S83"/>
  <c r="S84"/>
  <c r="V124"/>
  <c r="S87"/>
  <c r="S88"/>
  <c r="S89"/>
  <c r="R90"/>
  <c r="S90"/>
  <c r="S93"/>
  <c r="S94"/>
  <c r="V132"/>
  <c r="S95"/>
  <c r="S96"/>
  <c r="B134"/>
  <c r="P129"/>
  <c r="P92"/>
  <c r="L122"/>
  <c r="P85"/>
  <c r="P117"/>
  <c r="P80"/>
  <c r="R86"/>
  <c r="R80"/>
  <c r="P79"/>
  <c r="L116"/>
  <c r="BP45"/>
  <c r="BM45"/>
  <c r="BM44"/>
  <c r="BP43"/>
  <c r="BN45"/>
  <c r="BQ44"/>
  <c r="BQ43"/>
  <c r="BQ45"/>
  <c r="BN43"/>
  <c r="BD30"/>
  <c r="BA30"/>
  <c r="BA29"/>
  <c r="BE28"/>
  <c r="BB28"/>
  <c r="BB30"/>
  <c r="BD28"/>
  <c r="BE30"/>
  <c r="BE29"/>
  <c r="BJ20"/>
  <c r="BG20"/>
  <c r="BG19"/>
  <c r="BK18"/>
  <c r="BH18"/>
  <c r="BH20"/>
  <c r="BK20"/>
  <c r="BK19"/>
  <c r="BJ18"/>
  <c r="BP50"/>
  <c r="BM50"/>
  <c r="BQ49"/>
  <c r="BP48"/>
  <c r="BQ50"/>
  <c r="BM49"/>
  <c r="BN48"/>
  <c r="BN50"/>
  <c r="BQ48"/>
  <c r="BJ35"/>
  <c r="BG35"/>
  <c r="BK34"/>
  <c r="BK33"/>
  <c r="BH33"/>
  <c r="BK35"/>
  <c r="BG34"/>
  <c r="BJ33"/>
  <c r="BH35"/>
  <c r="BJ25"/>
  <c r="BG25"/>
  <c r="BK24"/>
  <c r="BJ23"/>
  <c r="BK25"/>
  <c r="BG24"/>
  <c r="BH23"/>
  <c r="BH25"/>
  <c r="BK23"/>
  <c r="U73"/>
  <c r="U83"/>
  <c r="U90"/>
  <c r="M137"/>
  <c r="U100" s="1"/>
  <c r="U118"/>
  <c r="U120"/>
  <c r="U125"/>
  <c r="U130"/>
  <c r="U115" l="1"/>
  <c r="B148" s="1"/>
  <c r="G148" s="1"/>
  <c r="U114"/>
  <c r="B147" s="1"/>
  <c r="E147" s="1"/>
  <c r="U77"/>
  <c r="U131"/>
  <c r="U127"/>
  <c r="U121"/>
  <c r="U94"/>
  <c r="U84"/>
  <c r="V131"/>
  <c r="B164" s="1"/>
  <c r="U95"/>
  <c r="U132"/>
  <c r="B165" s="1"/>
  <c r="U93"/>
  <c r="R93"/>
  <c r="B163"/>
  <c r="B160"/>
  <c r="G160" s="1"/>
  <c r="U126"/>
  <c r="U89"/>
  <c r="V89" s="1"/>
  <c r="L31" s="1"/>
  <c r="K31" s="1"/>
  <c r="R89"/>
  <c r="U124"/>
  <c r="B157" s="1"/>
  <c r="G157" s="1"/>
  <c r="U87"/>
  <c r="V87" s="1"/>
  <c r="L29" s="1"/>
  <c r="K29" s="1"/>
  <c r="R81"/>
  <c r="R77"/>
  <c r="R74"/>
  <c r="P91"/>
  <c r="U119"/>
  <c r="V119"/>
  <c r="P98"/>
  <c r="P97"/>
  <c r="U96"/>
  <c r="R96"/>
  <c r="U133"/>
  <c r="B166" s="1"/>
  <c r="G166" s="1"/>
  <c r="B159"/>
  <c r="G159" s="1"/>
  <c r="U88"/>
  <c r="R88"/>
  <c r="B158"/>
  <c r="E158" s="1"/>
  <c r="R84"/>
  <c r="V84" s="1"/>
  <c r="L26" s="1"/>
  <c r="K26" s="1"/>
  <c r="B154"/>
  <c r="E154" s="1"/>
  <c r="H154" s="1"/>
  <c r="B153"/>
  <c r="E153" s="1"/>
  <c r="U82"/>
  <c r="V82" s="1"/>
  <c r="L24" s="1"/>
  <c r="K24" s="1"/>
  <c r="U81"/>
  <c r="B151"/>
  <c r="G151" s="1"/>
  <c r="U78"/>
  <c r="R78"/>
  <c r="U113"/>
  <c r="B146" s="1"/>
  <c r="U76"/>
  <c r="R76"/>
  <c r="P136"/>
  <c r="P99"/>
  <c r="S134"/>
  <c r="R134"/>
  <c r="B105"/>
  <c r="S43"/>
  <c r="T43" s="1"/>
  <c r="L43"/>
  <c r="K43" s="1"/>
  <c r="H105"/>
  <c r="R135"/>
  <c r="S135"/>
  <c r="R116"/>
  <c r="S116"/>
  <c r="S128"/>
  <c r="R128"/>
  <c r="P111"/>
  <c r="P74"/>
  <c r="H135"/>
  <c r="E135"/>
  <c r="O112"/>
  <c r="M112"/>
  <c r="H110"/>
  <c r="E110"/>
  <c r="G165"/>
  <c r="G163"/>
  <c r="G153"/>
  <c r="U137"/>
  <c r="E160"/>
  <c r="H160" s="1"/>
  <c r="V95"/>
  <c r="L37" s="1"/>
  <c r="K37" s="1"/>
  <c r="V93"/>
  <c r="L35" s="1"/>
  <c r="K35" s="1"/>
  <c r="V83"/>
  <c r="L25" s="1"/>
  <c r="K25" s="1"/>
  <c r="V81"/>
  <c r="L23" s="1"/>
  <c r="K23" s="1"/>
  <c r="R100"/>
  <c r="V100" s="1"/>
  <c r="L42" s="1"/>
  <c r="K42" s="1"/>
  <c r="V137"/>
  <c r="G158"/>
  <c r="M116"/>
  <c r="O116"/>
  <c r="S117"/>
  <c r="R117"/>
  <c r="M122"/>
  <c r="O122"/>
  <c r="S129"/>
  <c r="R129"/>
  <c r="H134"/>
  <c r="E134"/>
  <c r="S123"/>
  <c r="R123"/>
  <c r="M128"/>
  <c r="O128"/>
  <c r="R99"/>
  <c r="E165"/>
  <c r="H165" s="1"/>
  <c r="E163"/>
  <c r="E159"/>
  <c r="V94"/>
  <c r="L36" s="1"/>
  <c r="K36" s="1"/>
  <c r="V90"/>
  <c r="L32" s="1"/>
  <c r="K32" s="1"/>
  <c r="V88"/>
  <c r="L30" s="1"/>
  <c r="K30" s="1"/>
  <c r="V77" l="1"/>
  <c r="L19" s="1"/>
  <c r="K19" s="1"/>
  <c r="V78"/>
  <c r="L20" s="1"/>
  <c r="K20" s="1"/>
  <c r="G147"/>
  <c r="V96"/>
  <c r="L38" s="1"/>
  <c r="K38" s="1"/>
  <c r="E164"/>
  <c r="H164" s="1"/>
  <c r="G164"/>
  <c r="E157"/>
  <c r="E151"/>
  <c r="U98"/>
  <c r="E166"/>
  <c r="H166" s="1"/>
  <c r="S91"/>
  <c r="B152"/>
  <c r="E148"/>
  <c r="H148" s="1"/>
  <c r="E152"/>
  <c r="G152"/>
  <c r="H158"/>
  <c r="G154"/>
  <c r="V76"/>
  <c r="L18" s="1"/>
  <c r="K18" s="1"/>
  <c r="G146"/>
  <c r="E146"/>
  <c r="H146" s="1"/>
  <c r="R111"/>
  <c r="S111"/>
  <c r="S136"/>
  <c r="R136"/>
  <c r="S79"/>
  <c r="U97"/>
  <c r="R73"/>
  <c r="U110"/>
  <c r="V110"/>
  <c r="S73"/>
  <c r="R75"/>
  <c r="U75"/>
  <c r="V112"/>
  <c r="U112"/>
  <c r="R98"/>
  <c r="V135"/>
  <c r="S98"/>
  <c r="U135"/>
  <c r="B168" s="1"/>
  <c r="E168" s="1"/>
  <c r="U123"/>
  <c r="V123"/>
  <c r="S86"/>
  <c r="U86"/>
  <c r="V134"/>
  <c r="R97"/>
  <c r="S97"/>
  <c r="U134"/>
  <c r="U129"/>
  <c r="V129"/>
  <c r="S92"/>
  <c r="U92"/>
  <c r="U117"/>
  <c r="V117"/>
  <c r="S80"/>
  <c r="U80"/>
  <c r="B170"/>
  <c r="E170" s="1"/>
  <c r="U91"/>
  <c r="V128"/>
  <c r="U128"/>
  <c r="R91"/>
  <c r="U85"/>
  <c r="R85"/>
  <c r="V122"/>
  <c r="U122"/>
  <c r="U79"/>
  <c r="V116"/>
  <c r="U116"/>
  <c r="R79"/>
  <c r="H147"/>
  <c r="H151"/>
  <c r="H153"/>
  <c r="H157"/>
  <c r="H159"/>
  <c r="H163"/>
  <c r="H152" l="1"/>
  <c r="U111"/>
  <c r="U74"/>
  <c r="V111"/>
  <c r="S74"/>
  <c r="U99"/>
  <c r="U136"/>
  <c r="V136"/>
  <c r="S99"/>
  <c r="G168"/>
  <c r="V92"/>
  <c r="L34" s="1"/>
  <c r="K34" s="1"/>
  <c r="V86"/>
  <c r="L28" s="1"/>
  <c r="K28" s="1"/>
  <c r="V80"/>
  <c r="L22" s="1"/>
  <c r="K22" s="1"/>
  <c r="V75"/>
  <c r="L17" s="1"/>
  <c r="K17" s="1"/>
  <c r="V73"/>
  <c r="L15" s="1"/>
  <c r="K15" s="1"/>
  <c r="B145"/>
  <c r="E145" s="1"/>
  <c r="B143"/>
  <c r="E143" s="1"/>
  <c r="H168"/>
  <c r="V79"/>
  <c r="L21" s="1"/>
  <c r="K21" s="1"/>
  <c r="V85"/>
  <c r="L27" s="1"/>
  <c r="K27" s="1"/>
  <c r="V91"/>
  <c r="L33" s="1"/>
  <c r="K33" s="1"/>
  <c r="V98"/>
  <c r="L40" s="1"/>
  <c r="K40" s="1"/>
  <c r="B149"/>
  <c r="B161"/>
  <c r="B167"/>
  <c r="V97"/>
  <c r="L39" s="1"/>
  <c r="B155"/>
  <c r="E155" s="1"/>
  <c r="B150"/>
  <c r="E150" s="1"/>
  <c r="B162"/>
  <c r="E162" s="1"/>
  <c r="B156"/>
  <c r="E156" s="1"/>
  <c r="V99" l="1"/>
  <c r="L41" s="1"/>
  <c r="K41" s="1"/>
  <c r="V74"/>
  <c r="L16" s="1"/>
  <c r="K16" s="1"/>
  <c r="B144"/>
  <c r="E178" s="1"/>
  <c r="B169"/>
  <c r="E169" s="1"/>
  <c r="G143"/>
  <c r="H143"/>
  <c r="H145"/>
  <c r="G145"/>
  <c r="K39"/>
  <c r="L45"/>
  <c r="B54"/>
  <c r="E54" s="1"/>
  <c r="F54" s="1"/>
  <c r="B57"/>
  <c r="E57" s="1"/>
  <c r="F57" s="1"/>
  <c r="B53"/>
  <c r="E53" s="1"/>
  <c r="F53" s="1"/>
  <c r="G167"/>
  <c r="E167"/>
  <c r="H167" s="1"/>
  <c r="E161"/>
  <c r="E149"/>
  <c r="G144" l="1"/>
  <c r="E177" s="1"/>
  <c r="E144"/>
  <c r="H144" s="1"/>
  <c r="H177" s="1"/>
  <c r="B52"/>
  <c r="E52" s="1"/>
  <c r="F52" s="1"/>
  <c r="B56"/>
  <c r="E56" s="1"/>
  <c r="F56" s="1"/>
  <c r="B51"/>
  <c r="E51" s="1"/>
  <c r="F51" s="1"/>
  <c r="H178"/>
  <c r="B55"/>
  <c r="E55" s="1"/>
  <c r="F55" s="1"/>
  <c r="E181" l="1"/>
  <c r="E182" s="1"/>
  <c r="H180" s="1"/>
  <c r="M145" l="1"/>
  <c r="M168"/>
  <c r="M146"/>
  <c r="M152"/>
  <c r="M158"/>
  <c r="M164"/>
  <c r="M147"/>
  <c r="M143"/>
  <c r="M148"/>
  <c r="M154"/>
  <c r="M160"/>
  <c r="M166"/>
  <c r="M144"/>
  <c r="M151"/>
  <c r="M157"/>
  <c r="M163"/>
  <c r="M153"/>
  <c r="M159"/>
  <c r="M165"/>
  <c r="M169"/>
  <c r="M170"/>
  <c r="M155"/>
  <c r="M156"/>
  <c r="M150"/>
  <c r="M162"/>
  <c r="M149"/>
  <c r="M167"/>
  <c r="M161"/>
  <c r="AJ169"/>
  <c r="AJ161"/>
  <c r="AJ155"/>
  <c r="AJ170"/>
  <c r="AJ149"/>
  <c r="AJ164"/>
  <c r="AJ150"/>
  <c r="AJ162"/>
  <c r="AJ158"/>
  <c r="AJ166"/>
  <c r="AJ154"/>
  <c r="AJ144"/>
  <c r="AJ152"/>
  <c r="AJ156"/>
  <c r="AJ168"/>
  <c r="AJ146"/>
  <c r="AJ160"/>
  <c r="AJ148"/>
  <c r="AJ151"/>
  <c r="AJ163"/>
  <c r="AJ147"/>
  <c r="AJ159"/>
  <c r="AJ145"/>
  <c r="AJ157"/>
  <c r="AJ167"/>
  <c r="AJ143"/>
  <c r="AJ153"/>
  <c r="AJ165"/>
  <c r="E180"/>
  <c r="L165" l="1"/>
  <c r="L166"/>
  <c r="L164"/>
  <c r="L160"/>
  <c r="L158"/>
  <c r="L154"/>
  <c r="L152"/>
  <c r="L148"/>
  <c r="L146"/>
  <c r="L143"/>
  <c r="L145"/>
  <c r="L163"/>
  <c r="L159"/>
  <c r="L157"/>
  <c r="L153"/>
  <c r="L151"/>
  <c r="L147"/>
  <c r="L169"/>
  <c r="L144"/>
  <c r="L168"/>
  <c r="L170"/>
  <c r="L156"/>
  <c r="L167"/>
  <c r="L161"/>
  <c r="L149"/>
  <c r="L162"/>
  <c r="L150"/>
  <c r="L155"/>
  <c r="AB153"/>
  <c r="AC153"/>
  <c r="AB167"/>
  <c r="AC167"/>
  <c r="AC145"/>
  <c r="AB145"/>
  <c r="AB147"/>
  <c r="AC147"/>
  <c r="AB151"/>
  <c r="AC151"/>
  <c r="AB160"/>
  <c r="AC160"/>
  <c r="AC168"/>
  <c r="AB168"/>
  <c r="AB152"/>
  <c r="AC152"/>
  <c r="AB154"/>
  <c r="AC154"/>
  <c r="AB158"/>
  <c r="AC158"/>
  <c r="AC150"/>
  <c r="AB150"/>
  <c r="AB149"/>
  <c r="AC149"/>
  <c r="AB155"/>
  <c r="AC155"/>
  <c r="AB169"/>
  <c r="AC169"/>
  <c r="AB165"/>
  <c r="AC165"/>
  <c r="AB143"/>
  <c r="AC143"/>
  <c r="AB157"/>
  <c r="AC157"/>
  <c r="AB159"/>
  <c r="AC159"/>
  <c r="AB163"/>
  <c r="AC163"/>
  <c r="AB148"/>
  <c r="AC148"/>
  <c r="AB146"/>
  <c r="AC146"/>
  <c r="AC156"/>
  <c r="AB156"/>
  <c r="AB144"/>
  <c r="AC144"/>
  <c r="AB166"/>
  <c r="AC166"/>
  <c r="AC162"/>
  <c r="AB162"/>
  <c r="AB164"/>
  <c r="AC164"/>
  <c r="AB170"/>
  <c r="AC170"/>
  <c r="AB161"/>
  <c r="AC161"/>
  <c r="AM92" l="1"/>
  <c r="AL34"/>
  <c r="AM86"/>
  <c r="AL28"/>
  <c r="AM80"/>
  <c r="AL22"/>
  <c r="AG168"/>
  <c r="AF168"/>
  <c r="AM98"/>
  <c r="AL40"/>
  <c r="AG145"/>
  <c r="AF145"/>
  <c r="AM75"/>
  <c r="AL17"/>
  <c r="P155"/>
  <c r="S155" s="1"/>
  <c r="O155"/>
  <c r="R155" s="1"/>
  <c r="P161"/>
  <c r="S161" s="1"/>
  <c r="O161"/>
  <c r="R161" s="1"/>
  <c r="P168"/>
  <c r="S168" s="1"/>
  <c r="O168"/>
  <c r="R168" s="1"/>
  <c r="P151"/>
  <c r="S151" s="1"/>
  <c r="O151"/>
  <c r="R151" s="1"/>
  <c r="P157"/>
  <c r="S157" s="1"/>
  <c r="O157"/>
  <c r="R157" s="1"/>
  <c r="P143"/>
  <c r="S143" s="1"/>
  <c r="O143"/>
  <c r="R143" s="1"/>
  <c r="P148"/>
  <c r="S148" s="1"/>
  <c r="O148"/>
  <c r="R148" s="1"/>
  <c r="P154"/>
  <c r="S154" s="1"/>
  <c r="O154"/>
  <c r="R154" s="1"/>
  <c r="P160"/>
  <c r="S160" s="1"/>
  <c r="O160"/>
  <c r="R160" s="1"/>
  <c r="P166"/>
  <c r="S166" s="1"/>
  <c r="O166"/>
  <c r="R166" s="1"/>
  <c r="AM91"/>
  <c r="AL33"/>
  <c r="AG170"/>
  <c r="AF170"/>
  <c r="AG164"/>
  <c r="AF164"/>
  <c r="AM94"/>
  <c r="AL36"/>
  <c r="AG166"/>
  <c r="AF166"/>
  <c r="AM96"/>
  <c r="AL38"/>
  <c r="AG144"/>
  <c r="AF144"/>
  <c r="AM74"/>
  <c r="AL16"/>
  <c r="AG146"/>
  <c r="AF146"/>
  <c r="AM76"/>
  <c r="AL18"/>
  <c r="AG148"/>
  <c r="AF148"/>
  <c r="AM78"/>
  <c r="AL20"/>
  <c r="AG163"/>
  <c r="AF163"/>
  <c r="AM93"/>
  <c r="AL35"/>
  <c r="AG159"/>
  <c r="AF159"/>
  <c r="AM89"/>
  <c r="AL31"/>
  <c r="AG157"/>
  <c r="AF157"/>
  <c r="AM87"/>
  <c r="AL29"/>
  <c r="AG143"/>
  <c r="AF143"/>
  <c r="AM73"/>
  <c r="AL15"/>
  <c r="AF178"/>
  <c r="AG165"/>
  <c r="AF165"/>
  <c r="AM95"/>
  <c r="AL37"/>
  <c r="AF169"/>
  <c r="AG169"/>
  <c r="AM85"/>
  <c r="AL27"/>
  <c r="AM79"/>
  <c r="AL21"/>
  <c r="AG158"/>
  <c r="AF158"/>
  <c r="AM88"/>
  <c r="AL30"/>
  <c r="AG154"/>
  <c r="AF154"/>
  <c r="AM84"/>
  <c r="AL26"/>
  <c r="AG152"/>
  <c r="AF152"/>
  <c r="AM82"/>
  <c r="AL24"/>
  <c r="AG160"/>
  <c r="AF160"/>
  <c r="AM90"/>
  <c r="AL32"/>
  <c r="AG151"/>
  <c r="AF151"/>
  <c r="AM81"/>
  <c r="AL23"/>
  <c r="AG147"/>
  <c r="AF147"/>
  <c r="AM77"/>
  <c r="AL19"/>
  <c r="AF167"/>
  <c r="AG167"/>
  <c r="AM97"/>
  <c r="AL39"/>
  <c r="AG153"/>
  <c r="AF153"/>
  <c r="AM83"/>
  <c r="AL25"/>
  <c r="P150"/>
  <c r="S150" s="1"/>
  <c r="O150"/>
  <c r="R150" s="1"/>
  <c r="P149"/>
  <c r="S149" s="1"/>
  <c r="O149"/>
  <c r="R149" s="1"/>
  <c r="P167"/>
  <c r="S167" s="1"/>
  <c r="O167"/>
  <c r="R167" s="1"/>
  <c r="P170"/>
  <c r="S170" s="1"/>
  <c r="O170"/>
  <c r="R170" s="1"/>
  <c r="P144"/>
  <c r="S144" s="1"/>
  <c r="O144"/>
  <c r="R144" s="1"/>
  <c r="P147"/>
  <c r="S147" s="1"/>
  <c r="O147"/>
  <c r="R147" s="1"/>
  <c r="P153"/>
  <c r="S153" s="1"/>
  <c r="O153"/>
  <c r="R153" s="1"/>
  <c r="P159"/>
  <c r="S159" s="1"/>
  <c r="O159"/>
  <c r="R159" s="1"/>
  <c r="P145"/>
  <c r="S145" s="1"/>
  <c r="O145"/>
  <c r="R145" s="1"/>
  <c r="P146"/>
  <c r="S146" s="1"/>
  <c r="O146"/>
  <c r="R146" s="1"/>
  <c r="P152"/>
  <c r="S152" s="1"/>
  <c r="O152"/>
  <c r="R152" s="1"/>
  <c r="P158"/>
  <c r="S158" s="1"/>
  <c r="O158"/>
  <c r="R158" s="1"/>
  <c r="P164"/>
  <c r="S164" s="1"/>
  <c r="O164"/>
  <c r="R164" s="1"/>
  <c r="P165"/>
  <c r="S165" s="1"/>
  <c r="O165"/>
  <c r="R165" s="1"/>
  <c r="AG178"/>
  <c r="P162"/>
  <c r="S162" s="1"/>
  <c r="O162"/>
  <c r="R162" s="1"/>
  <c r="P156"/>
  <c r="S156" s="1"/>
  <c r="O156"/>
  <c r="R156" s="1"/>
  <c r="P169"/>
  <c r="S169" s="1"/>
  <c r="O169"/>
  <c r="R169" s="1"/>
  <c r="P163"/>
  <c r="S163" s="1"/>
  <c r="O163"/>
  <c r="R163" s="1"/>
  <c r="O41" l="1"/>
  <c r="M41"/>
  <c r="O34"/>
  <c r="M34"/>
  <c r="O37"/>
  <c r="M37"/>
  <c r="O36"/>
  <c r="M36"/>
  <c r="O30"/>
  <c r="M30"/>
  <c r="O24"/>
  <c r="M24"/>
  <c r="O18"/>
  <c r="M18"/>
  <c r="O17"/>
  <c r="M17"/>
  <c r="O31"/>
  <c r="M31"/>
  <c r="O25"/>
  <c r="M25"/>
  <c r="O19"/>
  <c r="M19"/>
  <c r="O16"/>
  <c r="M16"/>
  <c r="AB16" s="1"/>
  <c r="AB74" s="1"/>
  <c r="O42"/>
  <c r="M42"/>
  <c r="O39"/>
  <c r="M39"/>
  <c r="O21"/>
  <c r="M21"/>
  <c r="O22"/>
  <c r="M22"/>
  <c r="AM39"/>
  <c r="AN39" s="1"/>
  <c r="AO39" s="1"/>
  <c r="AM23"/>
  <c r="AN23" s="1"/>
  <c r="AM24"/>
  <c r="AN24" s="1"/>
  <c r="AM30"/>
  <c r="AN30" s="1"/>
  <c r="AO30" s="1"/>
  <c r="AM27"/>
  <c r="AN27" s="1"/>
  <c r="AM37"/>
  <c r="AN37" s="1"/>
  <c r="AO37" s="1"/>
  <c r="AM15"/>
  <c r="AN15" s="1"/>
  <c r="AM31"/>
  <c r="AN31" s="1"/>
  <c r="AM20"/>
  <c r="AN20" s="1"/>
  <c r="AM16"/>
  <c r="AN16" s="1"/>
  <c r="AO16" s="1"/>
  <c r="AM36"/>
  <c r="AN36" s="1"/>
  <c r="AM33"/>
  <c r="AN33" s="1"/>
  <c r="O38"/>
  <c r="M38"/>
  <c r="O32"/>
  <c r="M32"/>
  <c r="O26"/>
  <c r="M26"/>
  <c r="O20"/>
  <c r="M20"/>
  <c r="O15"/>
  <c r="M15"/>
  <c r="AB15" s="1"/>
  <c r="AB73" s="1"/>
  <c r="O29"/>
  <c r="M29"/>
  <c r="O23"/>
  <c r="M23"/>
  <c r="O40"/>
  <c r="M40"/>
  <c r="O33"/>
  <c r="M33"/>
  <c r="O27"/>
  <c r="M27"/>
  <c r="AM40"/>
  <c r="AN40" s="1"/>
  <c r="AM28"/>
  <c r="AN28" s="1"/>
  <c r="AO28" s="1"/>
  <c r="AF177"/>
  <c r="O35"/>
  <c r="M35"/>
  <c r="O28"/>
  <c r="M28"/>
  <c r="AM25"/>
  <c r="AN25" s="1"/>
  <c r="AM19"/>
  <c r="AN19" s="1"/>
  <c r="AM32"/>
  <c r="AN32" s="1"/>
  <c r="AO32" s="1"/>
  <c r="AM26"/>
  <c r="AN26" s="1"/>
  <c r="AM21"/>
  <c r="AM29"/>
  <c r="AN29" s="1"/>
  <c r="AM35"/>
  <c r="AN35" s="1"/>
  <c r="AM18"/>
  <c r="AN18" s="1"/>
  <c r="AM38"/>
  <c r="AN38" s="1"/>
  <c r="AO38" s="1"/>
  <c r="AM17"/>
  <c r="AN17" s="1"/>
  <c r="AM22"/>
  <c r="AN22" s="1"/>
  <c r="AO22" s="1"/>
  <c r="AM34"/>
  <c r="AG177"/>
  <c r="AF181" l="1"/>
  <c r="AF182" s="1"/>
  <c r="AG180" s="1"/>
  <c r="AJ115" s="1"/>
  <c r="AO35"/>
  <c r="AN21"/>
  <c r="AO21" s="1"/>
  <c r="AO25"/>
  <c r="AO33"/>
  <c r="AO40"/>
  <c r="AO36"/>
  <c r="AO24"/>
  <c r="AN34"/>
  <c r="AO34" s="1"/>
  <c r="AO17"/>
  <c r="AO18"/>
  <c r="AO29"/>
  <c r="AO26"/>
  <c r="AO19"/>
  <c r="AO27"/>
  <c r="AC28"/>
  <c r="S28"/>
  <c r="T28" s="1"/>
  <c r="AC35"/>
  <c r="S35"/>
  <c r="T35" s="1"/>
  <c r="AB27"/>
  <c r="AB85" s="1"/>
  <c r="R53"/>
  <c r="S53" s="1"/>
  <c r="T53" s="1"/>
  <c r="AB33"/>
  <c r="AB91" s="1"/>
  <c r="R55"/>
  <c r="S55" s="1"/>
  <c r="T55" s="1"/>
  <c r="AB40"/>
  <c r="AB98" s="1"/>
  <c r="L60"/>
  <c r="M60" s="1"/>
  <c r="N60" s="1"/>
  <c r="AB23"/>
  <c r="AB81" s="1"/>
  <c r="O52"/>
  <c r="P52" s="1"/>
  <c r="Q52" s="1"/>
  <c r="AB29"/>
  <c r="AB87" s="1"/>
  <c r="O54"/>
  <c r="P54" s="1"/>
  <c r="Q54" s="1"/>
  <c r="AB20"/>
  <c r="AB78" s="1"/>
  <c r="L51"/>
  <c r="M51" s="1"/>
  <c r="N51" s="1"/>
  <c r="AB26"/>
  <c r="AB84" s="1"/>
  <c r="L53"/>
  <c r="M53" s="1"/>
  <c r="N53" s="1"/>
  <c r="AB32"/>
  <c r="AB90" s="1"/>
  <c r="L55"/>
  <c r="M55" s="1"/>
  <c r="N55" s="1"/>
  <c r="AB38"/>
  <c r="AB96" s="1"/>
  <c r="L61"/>
  <c r="M61" s="1"/>
  <c r="N61" s="1"/>
  <c r="L57"/>
  <c r="M57" s="1"/>
  <c r="N57" s="1"/>
  <c r="L62"/>
  <c r="M62" s="1"/>
  <c r="N62" s="1"/>
  <c r="AB22"/>
  <c r="AB80" s="1"/>
  <c r="R52"/>
  <c r="S52" s="1"/>
  <c r="T52" s="1"/>
  <c r="AB21"/>
  <c r="AB79" s="1"/>
  <c r="R51"/>
  <c r="S51" s="1"/>
  <c r="T51" s="1"/>
  <c r="AB39"/>
  <c r="AB97" s="1"/>
  <c r="O60"/>
  <c r="P60" s="1"/>
  <c r="Q60" s="1"/>
  <c r="AB19"/>
  <c r="AB77" s="1"/>
  <c r="O51"/>
  <c r="P51" s="1"/>
  <c r="Q51" s="1"/>
  <c r="AB25"/>
  <c r="AB83" s="1"/>
  <c r="O62"/>
  <c r="O53"/>
  <c r="P53" s="1"/>
  <c r="Q53" s="1"/>
  <c r="AB31"/>
  <c r="AB89" s="1"/>
  <c r="O55"/>
  <c r="P55" s="1"/>
  <c r="Q55" s="1"/>
  <c r="AB17"/>
  <c r="AB75" s="1"/>
  <c r="O59"/>
  <c r="P59" s="1"/>
  <c r="Q59" s="1"/>
  <c r="AB18"/>
  <c r="AB76" s="1"/>
  <c r="L59"/>
  <c r="M59" s="1"/>
  <c r="N59" s="1"/>
  <c r="AB24"/>
  <c r="AB82" s="1"/>
  <c r="L52"/>
  <c r="M52" s="1"/>
  <c r="N52" s="1"/>
  <c r="AB30"/>
  <c r="AB88" s="1"/>
  <c r="L54"/>
  <c r="M54" s="1"/>
  <c r="N54" s="1"/>
  <c r="AB36"/>
  <c r="AB94" s="1"/>
  <c r="L56"/>
  <c r="M56" s="1"/>
  <c r="N56" s="1"/>
  <c r="AB37"/>
  <c r="AB95" s="1"/>
  <c r="O61"/>
  <c r="P61" s="1"/>
  <c r="Q61" s="1"/>
  <c r="R57"/>
  <c r="S57" s="1"/>
  <c r="T57" s="1"/>
  <c r="O57"/>
  <c r="P57" s="1"/>
  <c r="Q57" s="1"/>
  <c r="R42"/>
  <c r="AB34"/>
  <c r="AB92" s="1"/>
  <c r="R56"/>
  <c r="S56" s="1"/>
  <c r="T56" s="1"/>
  <c r="AO20"/>
  <c r="AO31"/>
  <c r="AO15"/>
  <c r="AO23"/>
  <c r="R41"/>
  <c r="AB28"/>
  <c r="AB86" s="1"/>
  <c r="R54"/>
  <c r="S54" s="1"/>
  <c r="T54" s="1"/>
  <c r="AB35"/>
  <c r="AB93" s="1"/>
  <c r="O56"/>
  <c r="P56" s="1"/>
  <c r="Q56" s="1"/>
  <c r="AC27"/>
  <c r="S27"/>
  <c r="T27" s="1"/>
  <c r="AC33"/>
  <c r="S33"/>
  <c r="T33" s="1"/>
  <c r="AC40"/>
  <c r="S40"/>
  <c r="T40" s="1"/>
  <c r="AC23"/>
  <c r="S23"/>
  <c r="T23" s="1"/>
  <c r="AC29"/>
  <c r="S29"/>
  <c r="T29" s="1"/>
  <c r="AC15"/>
  <c r="S15"/>
  <c r="T15" s="1"/>
  <c r="AC20"/>
  <c r="S20"/>
  <c r="T20" s="1"/>
  <c r="AC26"/>
  <c r="S26"/>
  <c r="T26" s="1"/>
  <c r="AC32"/>
  <c r="S32"/>
  <c r="T32" s="1"/>
  <c r="AC38"/>
  <c r="S38"/>
  <c r="T38" s="1"/>
  <c r="AC22"/>
  <c r="S22"/>
  <c r="T22" s="1"/>
  <c r="AC21"/>
  <c r="O45"/>
  <c r="N45" s="1"/>
  <c r="S21"/>
  <c r="T21" s="1"/>
  <c r="AC39"/>
  <c r="S39"/>
  <c r="T39" s="1"/>
  <c r="AC16"/>
  <c r="S16"/>
  <c r="T16" s="1"/>
  <c r="AC19"/>
  <c r="S19"/>
  <c r="T19" s="1"/>
  <c r="AC25"/>
  <c r="S25"/>
  <c r="T25" s="1"/>
  <c r="AC31"/>
  <c r="S31"/>
  <c r="T31" s="1"/>
  <c r="AC17"/>
  <c r="S17"/>
  <c r="T17" s="1"/>
  <c r="AC18"/>
  <c r="S18"/>
  <c r="T18" s="1"/>
  <c r="AC24"/>
  <c r="S24"/>
  <c r="T24" s="1"/>
  <c r="AC30"/>
  <c r="S30"/>
  <c r="T30" s="1"/>
  <c r="AC36"/>
  <c r="S36"/>
  <c r="T36" s="1"/>
  <c r="AC37"/>
  <c r="S37"/>
  <c r="T37" s="1"/>
  <c r="AC34"/>
  <c r="S34"/>
  <c r="T34" s="1"/>
  <c r="AJ119" l="1"/>
  <c r="AJ131"/>
  <c r="AJ128"/>
  <c r="AF180"/>
  <c r="AI135" s="1"/>
  <c r="AJ118"/>
  <c r="AJ125"/>
  <c r="AJ134"/>
  <c r="AJ116"/>
  <c r="AJ117"/>
  <c r="AJ126"/>
  <c r="AJ120"/>
  <c r="AJ130"/>
  <c r="AJ135"/>
  <c r="AJ132"/>
  <c r="AJ137"/>
  <c r="AJ114"/>
  <c r="AJ124"/>
  <c r="AJ112"/>
  <c r="AJ129"/>
  <c r="AJ122"/>
  <c r="AJ133"/>
  <c r="AJ113"/>
  <c r="AJ127"/>
  <c r="AJ136"/>
  <c r="AJ111"/>
  <c r="AJ110"/>
  <c r="AJ123"/>
  <c r="AJ121"/>
  <c r="AB42"/>
  <c r="AC92"/>
  <c r="AD34"/>
  <c r="AC95"/>
  <c r="AD37"/>
  <c r="AC94"/>
  <c r="AD36"/>
  <c r="AC88"/>
  <c r="AD30"/>
  <c r="AC82"/>
  <c r="AD24"/>
  <c r="AC76"/>
  <c r="AD18"/>
  <c r="AC75"/>
  <c r="AD17"/>
  <c r="AC89"/>
  <c r="AD31"/>
  <c r="AC83"/>
  <c r="AD25"/>
  <c r="AC77"/>
  <c r="AD19"/>
  <c r="AC74"/>
  <c r="AD16"/>
  <c r="AC97"/>
  <c r="AD39"/>
  <c r="AC44"/>
  <c r="AD44" s="1"/>
  <c r="S41"/>
  <c r="T41" s="1"/>
  <c r="AI123"/>
  <c r="AC93"/>
  <c r="AD35"/>
  <c r="AC86"/>
  <c r="AD28"/>
  <c r="AC79"/>
  <c r="AD21"/>
  <c r="AC80"/>
  <c r="AD22"/>
  <c r="AC96"/>
  <c r="AD38"/>
  <c r="AC90"/>
  <c r="AD32"/>
  <c r="AC84"/>
  <c r="AD26"/>
  <c r="AC78"/>
  <c r="AD20"/>
  <c r="AC73"/>
  <c r="AD15"/>
  <c r="AC87"/>
  <c r="AD29"/>
  <c r="AC81"/>
  <c r="AD23"/>
  <c r="AC98"/>
  <c r="AD40"/>
  <c r="AC91"/>
  <c r="AD33"/>
  <c r="AC85"/>
  <c r="AD27"/>
  <c r="AC45"/>
  <c r="AD45" s="1"/>
  <c r="S42"/>
  <c r="T42" s="1"/>
  <c r="P62"/>
  <c r="Q62" s="1"/>
  <c r="AI112" l="1"/>
  <c r="AM112" s="1"/>
  <c r="AP112" s="1"/>
  <c r="AI121"/>
  <c r="AI132"/>
  <c r="AL132" s="1"/>
  <c r="AO132" s="1"/>
  <c r="AI130"/>
  <c r="AI118"/>
  <c r="AL118" s="1"/>
  <c r="AO118" s="1"/>
  <c r="AI111"/>
  <c r="AI114"/>
  <c r="AL114" s="1"/>
  <c r="AO114" s="1"/>
  <c r="AI136"/>
  <c r="AM136" s="1"/>
  <c r="AP136" s="1"/>
  <c r="AI133"/>
  <c r="AM133" s="1"/>
  <c r="AP133" s="1"/>
  <c r="AI129"/>
  <c r="AM129" s="1"/>
  <c r="AP129" s="1"/>
  <c r="AI125"/>
  <c r="AL125" s="1"/>
  <c r="AO125" s="1"/>
  <c r="AI126"/>
  <c r="AI128"/>
  <c r="AL128" s="1"/>
  <c r="AO128" s="1"/>
  <c r="AI120"/>
  <c r="AI127"/>
  <c r="AL127" s="1"/>
  <c r="AO127" s="1"/>
  <c r="AI116"/>
  <c r="AM116" s="1"/>
  <c r="AP116" s="1"/>
  <c r="AI124"/>
  <c r="AL124" s="1"/>
  <c r="AO124" s="1"/>
  <c r="AI113"/>
  <c r="AI137"/>
  <c r="AL137" s="1"/>
  <c r="AO137" s="1"/>
  <c r="AI117"/>
  <c r="AL117" s="1"/>
  <c r="AO117" s="1"/>
  <c r="AI134"/>
  <c r="AL134" s="1"/>
  <c r="AO134" s="1"/>
  <c r="AI119"/>
  <c r="AI122"/>
  <c r="AM122" s="1"/>
  <c r="AP122" s="1"/>
  <c r="AI110"/>
  <c r="AI115"/>
  <c r="AL115" s="1"/>
  <c r="AO115" s="1"/>
  <c r="AI131"/>
  <c r="AM114"/>
  <c r="AP114" s="1"/>
  <c r="AM121"/>
  <c r="AP121" s="1"/>
  <c r="AL121"/>
  <c r="AO121" s="1"/>
  <c r="AM130"/>
  <c r="AP130" s="1"/>
  <c r="AL130"/>
  <c r="AO130" s="1"/>
  <c r="AL129"/>
  <c r="AO129" s="1"/>
  <c r="AM126"/>
  <c r="AP126" s="1"/>
  <c r="AL126"/>
  <c r="AO126" s="1"/>
  <c r="AM111"/>
  <c r="AP111" s="1"/>
  <c r="AL111"/>
  <c r="AO111" s="1"/>
  <c r="AM123"/>
  <c r="AP123" s="1"/>
  <c r="AL123"/>
  <c r="AO123" s="1"/>
  <c r="AM120"/>
  <c r="AP120" s="1"/>
  <c r="AL120"/>
  <c r="AO120" s="1"/>
  <c r="AM127"/>
  <c r="AP127" s="1"/>
  <c r="AM113"/>
  <c r="AP113" s="1"/>
  <c r="AL113"/>
  <c r="AO113" s="1"/>
  <c r="AM117"/>
  <c r="AP117" s="1"/>
  <c r="AM119"/>
  <c r="AP119" s="1"/>
  <c r="AL119"/>
  <c r="AO119" s="1"/>
  <c r="AM110"/>
  <c r="AP110" s="1"/>
  <c r="AL110"/>
  <c r="AO110" s="1"/>
  <c r="AM131"/>
  <c r="AP131" s="1"/>
  <c r="AL131"/>
  <c r="AO131" s="1"/>
  <c r="AM135"/>
  <c r="AP135" s="1"/>
  <c r="AL135"/>
  <c r="AO135" s="1"/>
  <c r="AC42"/>
  <c r="AM118" l="1"/>
  <c r="AP118" s="1"/>
  <c r="AG118" s="1"/>
  <c r="AJ23" s="1"/>
  <c r="AL112"/>
  <c r="AO112" s="1"/>
  <c r="AM134"/>
  <c r="AP134" s="1"/>
  <c r="AF134" s="1"/>
  <c r="AM137"/>
  <c r="AP137" s="1"/>
  <c r="AF137" s="1"/>
  <c r="AM132"/>
  <c r="AP132" s="1"/>
  <c r="AF132" s="1"/>
  <c r="AM124"/>
  <c r="AP124" s="1"/>
  <c r="AG124" s="1"/>
  <c r="AJ29" s="1"/>
  <c r="AM128"/>
  <c r="AP128" s="1"/>
  <c r="AF128" s="1"/>
  <c r="AM115"/>
  <c r="AP115" s="1"/>
  <c r="AG115" s="1"/>
  <c r="AJ20" s="1"/>
  <c r="AM125"/>
  <c r="AP125" s="1"/>
  <c r="AG125" s="1"/>
  <c r="AJ30" s="1"/>
  <c r="AL133"/>
  <c r="AO133" s="1"/>
  <c r="AF133" s="1"/>
  <c r="AL116"/>
  <c r="AO116" s="1"/>
  <c r="AG116" s="1"/>
  <c r="AL136"/>
  <c r="AO136" s="1"/>
  <c r="AF136" s="1"/>
  <c r="AL122"/>
  <c r="AO122" s="1"/>
  <c r="AG122" s="1"/>
  <c r="AJ27" s="1"/>
  <c r="AG135"/>
  <c r="AJ40" s="1"/>
  <c r="AF135"/>
  <c r="AG131"/>
  <c r="AJ36" s="1"/>
  <c r="AF131"/>
  <c r="AF110"/>
  <c r="AI15" s="1"/>
  <c r="AI73" s="1"/>
  <c r="AG110"/>
  <c r="AJ15" s="1"/>
  <c r="AF119"/>
  <c r="AG119"/>
  <c r="AJ24" s="1"/>
  <c r="AF117"/>
  <c r="AG117"/>
  <c r="AJ22" s="1"/>
  <c r="AG137"/>
  <c r="AF113"/>
  <c r="AG113"/>
  <c r="AJ18" s="1"/>
  <c r="AF127"/>
  <c r="AG127"/>
  <c r="AJ32" s="1"/>
  <c r="AF120"/>
  <c r="AG120"/>
  <c r="AJ25" s="1"/>
  <c r="AF123"/>
  <c r="AG123"/>
  <c r="AJ28" s="1"/>
  <c r="AF111"/>
  <c r="AI16" s="1"/>
  <c r="AI74" s="1"/>
  <c r="AG111"/>
  <c r="AJ16" s="1"/>
  <c r="AF126"/>
  <c r="AG126"/>
  <c r="AJ31" s="1"/>
  <c r="AG129"/>
  <c r="AJ34" s="1"/>
  <c r="AF129"/>
  <c r="AG112"/>
  <c r="AJ17" s="1"/>
  <c r="AF112"/>
  <c r="AG133"/>
  <c r="AJ38" s="1"/>
  <c r="AG130"/>
  <c r="AJ35" s="1"/>
  <c r="AF130"/>
  <c r="AG136"/>
  <c r="AF121"/>
  <c r="AG121"/>
  <c r="AJ26" s="1"/>
  <c r="AF114"/>
  <c r="AG114"/>
  <c r="AJ19" s="1"/>
  <c r="AF124" l="1"/>
  <c r="AI55" s="1"/>
  <c r="AJ55" s="1"/>
  <c r="AK55" s="1"/>
  <c r="AF125"/>
  <c r="AI30" s="1"/>
  <c r="AI88" s="1"/>
  <c r="AG134"/>
  <c r="AJ39" s="1"/>
  <c r="AJ97" s="1"/>
  <c r="AF118"/>
  <c r="AI52" s="1"/>
  <c r="AJ52" s="1"/>
  <c r="AK52" s="1"/>
  <c r="AG128"/>
  <c r="AJ33" s="1"/>
  <c r="AK33" s="1"/>
  <c r="AG132"/>
  <c r="AJ37" s="1"/>
  <c r="AK37" s="1"/>
  <c r="AF115"/>
  <c r="AI20" s="1"/>
  <c r="AI78" s="1"/>
  <c r="AF116"/>
  <c r="AL51" s="1"/>
  <c r="AM51" s="1"/>
  <c r="AN51" s="1"/>
  <c r="AF122"/>
  <c r="AL53" s="1"/>
  <c r="AM53" s="1"/>
  <c r="AN53" s="1"/>
  <c r="AI19"/>
  <c r="AI77" s="1"/>
  <c r="AI51"/>
  <c r="AJ51" s="1"/>
  <c r="AK51" s="1"/>
  <c r="AI26"/>
  <c r="AI84" s="1"/>
  <c r="AF53"/>
  <c r="AG53" s="1"/>
  <c r="AH53" s="1"/>
  <c r="AJ93"/>
  <c r="AK35"/>
  <c r="AJ96"/>
  <c r="AK38"/>
  <c r="AJ75"/>
  <c r="AK17"/>
  <c r="AJ92"/>
  <c r="AK34"/>
  <c r="AI23"/>
  <c r="AI81" s="1"/>
  <c r="AI31"/>
  <c r="AI89" s="1"/>
  <c r="AJ91"/>
  <c r="AI28"/>
  <c r="AI86" s="1"/>
  <c r="AI25"/>
  <c r="AI83" s="1"/>
  <c r="AI62"/>
  <c r="AI32"/>
  <c r="AI90" s="1"/>
  <c r="AJ21"/>
  <c r="AI29"/>
  <c r="AI87" s="1"/>
  <c r="AI18"/>
  <c r="AI76" s="1"/>
  <c r="AF59"/>
  <c r="AG59" s="1"/>
  <c r="AH59" s="1"/>
  <c r="AI22"/>
  <c r="AI80" s="1"/>
  <c r="AK39"/>
  <c r="AI24"/>
  <c r="AI82" s="1"/>
  <c r="AF52"/>
  <c r="AG52" s="1"/>
  <c r="AH52" s="1"/>
  <c r="AJ85"/>
  <c r="AK27"/>
  <c r="AF51"/>
  <c r="AG51" s="1"/>
  <c r="AH51" s="1"/>
  <c r="AJ94"/>
  <c r="AK36"/>
  <c r="AJ98"/>
  <c r="AK40"/>
  <c r="AI37"/>
  <c r="AI95" s="1"/>
  <c r="AI61"/>
  <c r="AJ61" s="1"/>
  <c r="AK61" s="1"/>
  <c r="AI57"/>
  <c r="AJ57" s="1"/>
  <c r="AK57" s="1"/>
  <c r="AL57"/>
  <c r="AM57" s="1"/>
  <c r="AN57" s="1"/>
  <c r="AJ45"/>
  <c r="AK45" s="1"/>
  <c r="AJ77"/>
  <c r="AK19"/>
  <c r="AJ84"/>
  <c r="AK26"/>
  <c r="AI35"/>
  <c r="AI93" s="1"/>
  <c r="AI56"/>
  <c r="AJ56" s="1"/>
  <c r="AK56" s="1"/>
  <c r="AI38"/>
  <c r="AI96" s="1"/>
  <c r="AF61"/>
  <c r="AG61" s="1"/>
  <c r="AH61" s="1"/>
  <c r="AF62"/>
  <c r="AF57"/>
  <c r="AG57" s="1"/>
  <c r="AH57" s="1"/>
  <c r="AI17"/>
  <c r="AI75" s="1"/>
  <c r="AI59"/>
  <c r="AJ59" s="1"/>
  <c r="AK59" s="1"/>
  <c r="AI34"/>
  <c r="AI92" s="1"/>
  <c r="AL56"/>
  <c r="AM56" s="1"/>
  <c r="AN56" s="1"/>
  <c r="AJ81"/>
  <c r="AK23"/>
  <c r="AJ88"/>
  <c r="AK30"/>
  <c r="AJ89"/>
  <c r="AK31"/>
  <c r="AJ74"/>
  <c r="AK16"/>
  <c r="AI33"/>
  <c r="AI91" s="1"/>
  <c r="AL55"/>
  <c r="AM55" s="1"/>
  <c r="AN55" s="1"/>
  <c r="AJ86"/>
  <c r="AK28"/>
  <c r="AJ83"/>
  <c r="AK25"/>
  <c r="AJ90"/>
  <c r="AK32"/>
  <c r="AJ87"/>
  <c r="AK29"/>
  <c r="AJ76"/>
  <c r="AK18"/>
  <c r="AJ80"/>
  <c r="AK22"/>
  <c r="AI39"/>
  <c r="AI97" s="1"/>
  <c r="AI60"/>
  <c r="AJ60" s="1"/>
  <c r="AK60" s="1"/>
  <c r="AJ82"/>
  <c r="AK24"/>
  <c r="AI27"/>
  <c r="AI85" s="1"/>
  <c r="AJ73"/>
  <c r="AK15"/>
  <c r="AJ78"/>
  <c r="AK20"/>
  <c r="AI36"/>
  <c r="AI94" s="1"/>
  <c r="AF56"/>
  <c r="AG56" s="1"/>
  <c r="AH56" s="1"/>
  <c r="AI40"/>
  <c r="AI98" s="1"/>
  <c r="AF60"/>
  <c r="AG60" s="1"/>
  <c r="AH60" s="1"/>
  <c r="AJ44"/>
  <c r="AK44" s="1"/>
  <c r="AI54" l="1"/>
  <c r="AJ54" s="1"/>
  <c r="AK54" s="1"/>
  <c r="AF55"/>
  <c r="AG55" s="1"/>
  <c r="AH55" s="1"/>
  <c r="AF54"/>
  <c r="AG54" s="1"/>
  <c r="AH54" s="1"/>
  <c r="AJ95"/>
  <c r="AI21"/>
  <c r="AI79" s="1"/>
  <c r="AI42" s="1"/>
  <c r="AL52"/>
  <c r="AM52" s="1"/>
  <c r="AN52" s="1"/>
  <c r="AM45"/>
  <c r="AN45" s="1"/>
  <c r="AL54"/>
  <c r="AM54" s="1"/>
  <c r="AN54" s="1"/>
  <c r="AI53"/>
  <c r="AJ53" s="1"/>
  <c r="AK53" s="1"/>
  <c r="AG62"/>
  <c r="AH62" s="1"/>
  <c r="AJ79"/>
  <c r="AK21"/>
  <c r="AJ62"/>
  <c r="AK62" s="1"/>
  <c r="AJ42" l="1"/>
</calcChain>
</file>

<file path=xl/sharedStrings.xml><?xml version="1.0" encoding="utf-8"?>
<sst xmlns="http://schemas.openxmlformats.org/spreadsheetml/2006/main" count="972" uniqueCount="460">
  <si>
    <t>SLALOM COURSE STANDARD THREE-POINT SURVEY REDUCTION    (V3.42 JUL 2000)</t>
  </si>
  <si>
    <t>Approved by AWSA Tech Comm</t>
  </si>
  <si>
    <t>SLALOM COURSE SURVEY     -- CORRECTION PLANNING --     (V3.42 JUL 2000)</t>
  </si>
  <si>
    <t>SLALOM COURSE SURVEY   -- CORRECTION MOVEMENT MAP --   (V3.42 JUL 2000)</t>
  </si>
  <si>
    <t xml:space="preserve"> Survey Date:</t>
  </si>
  <si>
    <t>(F5) to A183 for Instructions &amp; Help.</t>
  </si>
  <si>
    <t xml:space="preserve">  Errors &amp; Fixes shown in:</t>
  </si>
  <si>
    <t>Survey Date:</t>
  </si>
  <si>
    <t>Print Range AA1..AO60 for this section.</t>
  </si>
  <si>
    <t xml:space="preserve"> (0=Cm, 1=Inches)</t>
  </si>
  <si>
    <t>(F5) to A183 for Instructions.</t>
  </si>
  <si>
    <t xml:space="preserve"> Survey Baseline</t>
  </si>
  <si>
    <t>A to B</t>
  </si>
  <si>
    <t>B to C</t>
  </si>
  <si>
    <t>A to C</t>
  </si>
  <si>
    <t>Objects to be Moved are indicated with surrounding **</t>
  </si>
  <si>
    <t>Movemt Basis:</t>
  </si>
  <si>
    <t>Prt Rng A1..T60 for this section.</t>
  </si>
  <si>
    <t xml:space="preserve"> Lengths (Mtrs):</t>
  </si>
  <si>
    <t xml:space="preserve">   Derived Width Measures</t>
  </si>
  <si>
    <t>Error / Fix    X-POS:  - Toward Entrance, else Away</t>
  </si>
  <si>
    <t xml:space="preserve">Scroll right to Cell BA1 </t>
  </si>
  <si>
    <t>Move each flagged object by the displayed amount(s),</t>
  </si>
  <si>
    <t>-------------</t>
  </si>
  <si>
    <t xml:space="preserve">   from fitted centerline</t>
  </si>
  <si>
    <t>Orientation    Width:     - Narrower, else Wider</t>
  </si>
  <si>
    <t>for Correction Map ----&gt;</t>
  </si>
  <si>
    <t>in the direction(s) indicated -- towards that number</t>
  </si>
  <si>
    <t xml:space="preserve"> (0 = Cm,</t>
  </si>
  <si>
    <t xml:space="preserve">   Angular Sighting Input Values</t>
  </si>
  <si>
    <t xml:space="preserve"> Sighting</t>
  </si>
  <si>
    <t xml:space="preserve">    Transformed</t>
  </si>
  <si>
    <t xml:space="preserve">  (- is Narrow, + is Wide)</t>
  </si>
  <si>
    <t>and away from that object's Identification Code.</t>
  </si>
  <si>
    <t xml:space="preserve"> 1=Inches)</t>
  </si>
  <si>
    <t>Buoy</t>
  </si>
  <si>
    <t xml:space="preserve">     ----</t>
  </si>
  <si>
    <t>-</t>
  </si>
  <si>
    <t>---</t>
  </si>
  <si>
    <t xml:space="preserve">  Errors</t>
  </si>
  <si>
    <t xml:space="preserve">    Coordinates</t>
  </si>
  <si>
    <t xml:space="preserve">  ------------------------</t>
  </si>
  <si>
    <t xml:space="preserve">   Initial Errors</t>
  </si>
  <si>
    <t xml:space="preserve">  Planned Fixes</t>
  </si>
  <si>
    <t xml:space="preserve">   Revised Errors</t>
  </si>
  <si>
    <t xml:space="preserve">    "To Fix" Sighting</t>
  </si>
  <si>
    <t>Tar-</t>
  </si>
  <si>
    <t xml:space="preserve">      Station A</t>
  </si>
  <si>
    <t xml:space="preserve">    Station B</t>
  </si>
  <si>
    <t xml:space="preserve">    Station C</t>
  </si>
  <si>
    <t xml:space="preserve"> --------</t>
  </si>
  <si>
    <t xml:space="preserve">   -------------</t>
  </si>
  <si>
    <t>Ideal</t>
  </si>
  <si>
    <t xml:space="preserve">+/- </t>
  </si>
  <si>
    <t xml:space="preserve">   Width</t>
  </si>
  <si>
    <t>Obj-</t>
  </si>
  <si>
    <t xml:space="preserve">   --------------</t>
  </si>
  <si>
    <t xml:space="preserve">  -------------</t>
  </si>
  <si>
    <t xml:space="preserve">   fm Survey Station B</t>
  </si>
  <si>
    <t>get:</t>
  </si>
  <si>
    <t>Deg</t>
  </si>
  <si>
    <t>Min</t>
  </si>
  <si>
    <t>Sec</t>
  </si>
  <si>
    <t>OK</t>
  </si>
  <si>
    <t>Value</t>
  </si>
  <si>
    <t>X-Pos</t>
  </si>
  <si>
    <t>Width</t>
  </si>
  <si>
    <t>Limit</t>
  </si>
  <si>
    <t xml:space="preserve">  Error OK</t>
  </si>
  <si>
    <t>ect:</t>
  </si>
  <si>
    <t>Dist</t>
  </si>
  <si>
    <t xml:space="preserve"> Print Range</t>
  </si>
  <si>
    <t>-----</t>
  </si>
  <si>
    <t xml:space="preserve">   -----</t>
  </si>
  <si>
    <t>---------</t>
  </si>
  <si>
    <t>------</t>
  </si>
  <si>
    <t xml:space="preserve">  --------</t>
  </si>
  <si>
    <t>----</t>
  </si>
  <si>
    <t xml:space="preserve">   ----</t>
  </si>
  <si>
    <t xml:space="preserve">BA1..BW58 for </t>
  </si>
  <si>
    <t>P2</t>
  </si>
  <si>
    <t>P1</t>
  </si>
  <si>
    <t>this Section.</t>
  </si>
  <si>
    <t>G1</t>
  </si>
  <si>
    <t>G2</t>
  </si>
  <si>
    <t>G3</t>
  </si>
  <si>
    <t>G4</t>
  </si>
  <si>
    <t>S1</t>
  </si>
  <si>
    <t>S2</t>
  </si>
  <si>
    <t>G5</t>
  </si>
  <si>
    <t>G6</t>
  </si>
  <si>
    <t>G7</t>
  </si>
  <si>
    <t>G8</t>
  </si>
  <si>
    <t>S3</t>
  </si>
  <si>
    <t>S4</t>
  </si>
  <si>
    <t>G9</t>
  </si>
  <si>
    <t>TNL</t>
  </si>
  <si>
    <t>G10</t>
  </si>
  <si>
    <t>G11</t>
  </si>
  <si>
    <t>G12</t>
  </si>
  <si>
    <t>S5</t>
  </si>
  <si>
    <t>S6</t>
  </si>
  <si>
    <t>G13</t>
  </si>
  <si>
    <t>G14</t>
  </si>
  <si>
    <t>G15</t>
  </si>
  <si>
    <t>G16</t>
  </si>
  <si>
    <t>P15</t>
  </si>
  <si>
    <t>P16</t>
  </si>
  <si>
    <t xml:space="preserve"> Angle:</t>
  </si>
  <si>
    <t>TFR</t>
  </si>
  <si>
    <t>&lt;- Mean Abs Errs -&gt;</t>
  </si>
  <si>
    <t xml:space="preserve"> Mean Abs Errs</t>
  </si>
  <si>
    <t xml:space="preserve">      Skier Buoys</t>
  </si>
  <si>
    <t>BSLN</t>
  </si>
  <si>
    <t>&lt;- ACTUAL (Baseline Chks) DERIVED -&gt;</t>
  </si>
  <si>
    <t xml:space="preserve">     Avg Width</t>
  </si>
  <si>
    <t xml:space="preserve"> OK</t>
  </si>
  <si>
    <t xml:space="preserve"> ------</t>
  </si>
  <si>
    <t xml:space="preserve">     ---------</t>
  </si>
  <si>
    <t xml:space="preserve"> --</t>
  </si>
  <si>
    <t xml:space="preserve">  Avg Sighting Error:</t>
  </si>
  <si>
    <t>Avg Width (R/C Min 11.48)</t>
  </si>
  <si>
    <t xml:space="preserve">  Diagonal Distances and Errors</t>
  </si>
  <si>
    <t>--- Derived Up-and-Down Course Distances and Computed Errors ---</t>
  </si>
  <si>
    <t xml:space="preserve">Derived Up-and-Down Course Distances and Computed Errors </t>
  </si>
  <si>
    <t>Seg-</t>
  </si>
  <si>
    <t xml:space="preserve">  -------</t>
  </si>
  <si>
    <t xml:space="preserve">   +/-</t>
  </si>
  <si>
    <t xml:space="preserve">    G2/G4/G6 Side</t>
  </si>
  <si>
    <t xml:space="preserve">    G1/G3/G5 Side</t>
  </si>
  <si>
    <t xml:space="preserve">  Thru Skier Buoys</t>
  </si>
  <si>
    <t xml:space="preserve">      +/-</t>
  </si>
  <si>
    <t xml:space="preserve">   Thru Skier Buoys</t>
  </si>
  <si>
    <t>ment</t>
  </si>
  <si>
    <t>Actual</t>
  </si>
  <si>
    <t xml:space="preserve"> Ideal</t>
  </si>
  <si>
    <t>Error</t>
  </si>
  <si>
    <t xml:space="preserve"> OK  Lim</t>
  </si>
  <si>
    <t xml:space="preserve">      Ideal</t>
  </si>
  <si>
    <t xml:space="preserve">   Lim</t>
  </si>
  <si>
    <t>Leng</t>
  </si>
  <si>
    <t xml:space="preserve">      Lim</t>
  </si>
  <si>
    <t xml:space="preserve">  ------</t>
  </si>
  <si>
    <t>-------</t>
  </si>
  <si>
    <t xml:space="preserve"> --  ---</t>
  </si>
  <si>
    <t xml:space="preserve">  -----</t>
  </si>
  <si>
    <t xml:space="preserve"> ---------</t>
  </si>
  <si>
    <t xml:space="preserve">     -----</t>
  </si>
  <si>
    <t>G-S1</t>
  </si>
  <si>
    <t xml:space="preserve"> 29.347</t>
  </si>
  <si>
    <t>.147</t>
  </si>
  <si>
    <t xml:space="preserve">  .135</t>
  </si>
  <si>
    <t xml:space="preserve">     .135</t>
  </si>
  <si>
    <t>S1-2</t>
  </si>
  <si>
    <t xml:space="preserve"> 47.011</t>
  </si>
  <si>
    <t>.235</t>
  </si>
  <si>
    <t xml:space="preserve">  .205</t>
  </si>
  <si>
    <t>S1-S2</t>
  </si>
  <si>
    <t xml:space="preserve">     .205</t>
  </si>
  <si>
    <t>S2-3</t>
  </si>
  <si>
    <t>S2-S3</t>
  </si>
  <si>
    <t>S3-4</t>
  </si>
  <si>
    <t>S3-S4</t>
  </si>
  <si>
    <t>S4-5</t>
  </si>
  <si>
    <t>S4-S5</t>
  </si>
  <si>
    <t>S5-6</t>
  </si>
  <si>
    <t>S5-S6</t>
  </si>
  <si>
    <t>S6-G</t>
  </si>
  <si>
    <t>Left End Pre-Gate</t>
  </si>
  <si>
    <t xml:space="preserve">  .275</t>
  </si>
  <si>
    <t xml:space="preserve">   NOTE - Measures</t>
  </si>
  <si>
    <t xml:space="preserve"> P1-G1  &amp;  P2-G2   .275</t>
  </si>
  <si>
    <t xml:space="preserve">  Calculated</t>
  </si>
  <si>
    <t>Right End Pre-Gate</t>
  </si>
  <si>
    <t xml:space="preserve">   Errs and Limits</t>
  </si>
  <si>
    <t>G15-P15 &amp; G16-P16  .275</t>
  </si>
  <si>
    <t xml:space="preserve">  ----------</t>
  </si>
  <si>
    <t>Overall Course Length</t>
  </si>
  <si>
    <t xml:space="preserve">  .648</t>
  </si>
  <si>
    <t xml:space="preserve">   in this section</t>
  </si>
  <si>
    <t xml:space="preserve"> G1-G15 &amp;  G2-G16  .648</t>
  </si>
  <si>
    <t>Gate to 3rd Buoy</t>
  </si>
  <si>
    <t xml:space="preserve"> 109/259ths</t>
  </si>
  <si>
    <t xml:space="preserve">  .115</t>
  </si>
  <si>
    <t xml:space="preserve">   all in Meters.</t>
  </si>
  <si>
    <t xml:space="preserve"> G1-G7  &amp; G10-G16  .115</t>
  </si>
  <si>
    <t xml:space="preserve">  -- Initial --</t>
  </si>
  <si>
    <t xml:space="preserve">  -- Revised --</t>
  </si>
  <si>
    <t>To Fix</t>
  </si>
  <si>
    <t xml:space="preserve"> Sightings converted to Fractional Radians</t>
  </si>
  <si>
    <t xml:space="preserve">   --- Triangle Vertex Sines ----</t>
  </si>
  <si>
    <t xml:space="preserve">    ------- Triangle Sides -------</t>
  </si>
  <si>
    <t xml:space="preserve">    Abs(Errs)</t>
  </si>
  <si>
    <t>Sta B</t>
  </si>
  <si>
    <t>Loc:</t>
  </si>
  <si>
    <t>Sta A</t>
  </si>
  <si>
    <t>Sta C</t>
  </si>
  <si>
    <t>A-B</t>
  </si>
  <si>
    <t>A-C</t>
  </si>
  <si>
    <t>B-C</t>
  </si>
  <si>
    <t>Largest</t>
  </si>
  <si>
    <t>S A</t>
  </si>
  <si>
    <t>S B</t>
  </si>
  <si>
    <t>S C</t>
  </si>
  <si>
    <t>"S"</t>
  </si>
  <si>
    <t>Angle</t>
  </si>
  <si>
    <t>--</t>
  </si>
  <si>
    <t>&lt;-- Baseline Cross-Sighting Angles</t>
  </si>
  <si>
    <t>BSVA</t>
  </si>
  <si>
    <t>&lt;-- Baseline Vertices (Calc Fm Angles)</t>
  </si>
  <si>
    <t xml:space="preserve">   Coordinates of</t>
  </si>
  <si>
    <t>X-POS</t>
  </si>
  <si>
    <t>Y-POS</t>
  </si>
  <si>
    <t>BSVL</t>
  </si>
  <si>
    <t>&lt;-- Baseline Vertices (Calc fm Lengths)</t>
  </si>
  <si>
    <t xml:space="preserve">   Station B ---&gt;</t>
  </si>
  <si>
    <t>Diffs:</t>
  </si>
  <si>
    <t>&lt;-- Diffs betwn Vert Calcs above (secs)</t>
  </si>
  <si>
    <t xml:space="preserve"> Revised Trans-</t>
  </si>
  <si>
    <t xml:space="preserve">  REVISED COORDINATE TRANSFORMATION TO NEW FIT LINE</t>
  </si>
  <si>
    <t xml:space="preserve">  formed Coords</t>
  </si>
  <si>
    <t xml:space="preserve">  -------------------------------------------------</t>
  </si>
  <si>
    <t xml:space="preserve"> BISECTOR SLOPES</t>
  </si>
  <si>
    <t xml:space="preserve"> "Ideal" Coords</t>
  </si>
  <si>
    <t xml:space="preserve"> --------------</t>
  </si>
  <si>
    <t xml:space="preserve">    TRANSLATED</t>
  </si>
  <si>
    <t xml:space="preserve">   TRANSL-POLAR</t>
  </si>
  <si>
    <t>ROTATED-POLAR</t>
  </si>
  <si>
    <t>D(a-b)</t>
  </si>
  <si>
    <t>Y(a-b)</t>
  </si>
  <si>
    <t>X(a-b)</t>
  </si>
  <si>
    <t>D(a-c)</t>
  </si>
  <si>
    <t>Y(a-c)</t>
  </si>
  <si>
    <t>X(a-c)</t>
  </si>
  <si>
    <t>D(b-c)</t>
  </si>
  <si>
    <t>Y(b-c)</t>
  </si>
  <si>
    <t>X(b-c)</t>
  </si>
  <si>
    <t>DIST</t>
  </si>
  <si>
    <t>ANGLE</t>
  </si>
  <si>
    <t xml:space="preserve">  ROTATED TO BASELINE ORIENTATION</t>
  </si>
  <si>
    <t>PLANNED MVMTS</t>
  </si>
  <si>
    <t xml:space="preserve">  Initial Coordinates</t>
  </si>
  <si>
    <t xml:space="preserve">  ROTATED-POLAR</t>
  </si>
  <si>
    <t xml:space="preserve">   "FIXED" BASELINE COORDINATES</t>
  </si>
  <si>
    <t xml:space="preserve"> BASELINE-POLAR</t>
  </si>
  <si>
    <t xml:space="preserve">   FITTED-POLAR</t>
  </si>
  <si>
    <t>CONV TO MTRS</t>
  </si>
  <si>
    <t xml:space="preserve"> (Insc</t>
  </si>
  <si>
    <t>X^2</t>
  </si>
  <si>
    <t xml:space="preserve">X*Y </t>
  </si>
  <si>
    <t xml:space="preserve">  Ctr)</t>
  </si>
  <si>
    <t xml:space="preserve"> Baseline Derivations</t>
  </si>
  <si>
    <t xml:space="preserve"> Conversion</t>
  </si>
  <si>
    <t xml:space="preserve"> Constants</t>
  </si>
  <si>
    <t>Centerline Points</t>
  </si>
  <si>
    <t xml:space="preserve">   Sums X^2 &amp; X*Y </t>
  </si>
  <si>
    <t>Pi / 180</t>
  </si>
  <si>
    <t xml:space="preserve">   Geometric Center</t>
  </si>
  <si>
    <t>Pi / 360</t>
  </si>
  <si>
    <t>180 / Pi</t>
  </si>
  <si>
    <t>Centerline Origin</t>
  </si>
  <si>
    <t>Centerline slope</t>
  </si>
  <si>
    <t>Centerline Rotated</t>
  </si>
  <si>
    <t>Radians from Survey baseline</t>
  </si>
  <si>
    <t xml:space="preserve">  SLALOM COURSE THREE POINT SURVEY REDUCTION INSTRUCTIONS</t>
  </si>
  <si>
    <t xml:space="preserve">  -------------------------------------------------------</t>
  </si>
  <si>
    <t xml:space="preserve">  a) Enter the Name of the Site and the survey date in the heading</t>
  </si>
  <si>
    <t xml:space="preserve">     section at the top of the worksheet.  Then input the baseline</t>
  </si>
  <si>
    <t xml:space="preserve">     segment distances from station A to B and from B to C -- plus</t>
  </si>
  <si>
    <t xml:space="preserve">     the distance from A to C, if station B is off the baseline.  If</t>
  </si>
  <si>
    <t xml:space="preserve">     your baseline distances are in feet, then enter each value as </t>
  </si>
  <si>
    <t xml:space="preserve">     ".3048*xxx.xx" (where xxx.xx is the distance value in feet, to</t>
  </si>
  <si>
    <t xml:space="preserve">     two decimal places), this will convert the baseline to the </t>
  </si>
  <si>
    <t xml:space="preserve">     metric system, which is the official measurement basis.</t>
  </si>
  <si>
    <t xml:space="preserve">     Then enter all the sighting angles in the sighting input area.</t>
  </si>
  <si>
    <t xml:space="preserve">     If your sighting Station B is off the baseline, be sure to also</t>
  </si>
  <si>
    <t xml:space="preserve">     input the Station-to-Station sighting values on the BSLN row --</t>
  </si>
  <si>
    <t xml:space="preserve">     It is CRITICAL that the Station-to-Station alignment follows</t>
  </si>
  <si>
    <t xml:space="preserve">     the arrangement shown at the bottom of the Slalom Course Data</t>
  </si>
  <si>
    <t xml:space="preserve">     Recording Form.</t>
  </si>
  <si>
    <t xml:space="preserve">     IMPORTANT NOTE -- If you should enter a set of sighting and/or</t>
  </si>
  <si>
    <t xml:space="preserve">     distance values on the wrong row by mistake, DO NOT use the</t>
  </si>
  <si>
    <t xml:space="preserve">     1-2-3 (or equivalent for other systems) "Move" command to place</t>
  </si>
  <si>
    <t xml:space="preserve">     these values on the proper row -- you will have to re-key the</t>
  </si>
  <si>
    <t xml:space="preserve">     data on the proper row, and then enter the correct values for</t>
  </si>
  <si>
    <t xml:space="preserve">     the first row on top of the misplaced ones.</t>
  </si>
  <si>
    <t xml:space="preserve">  b) Double check the input section to ensure that each value has</t>
  </si>
  <si>
    <t xml:space="preserve">     been entered into the worksheet correctly -- then press the</t>
  </si>
  <si>
    <t xml:space="preserve">     Calculate key (F9) to process the survey reduction.  You can</t>
  </si>
  <si>
    <t xml:space="preserve">     review the resulting derivations on the screen by moving the</t>
  </si>
  <si>
    <t xml:space="preserve">     display window around, although it is usually preferable to</t>
  </si>
  <si>
    <t xml:space="preserve">     print the results on paper so that you can see it all at once.</t>
  </si>
  <si>
    <t xml:space="preserve">     The necessary Range and Setup parameters have already been pre-</t>
  </si>
  <si>
    <t xml:space="preserve">     set in the worksheet to print the primary section -- which</t>
  </si>
  <si>
    <t xml:space="preserve">     consists of the input area plus the key derivative measures,</t>
  </si>
  <si>
    <t xml:space="preserve">     including both tolerances and highlight flags.  All of this</t>
  </si>
  <si>
    <t xml:space="preserve">     information will print on a single sheet of paper.</t>
  </si>
  <si>
    <t xml:space="preserve">  c) Examine the printout or screen carefully -- any value</t>
  </si>
  <si>
    <t xml:space="preserve">     highlighted with asterisks (****) is outside the official</t>
  </si>
  <si>
    <t xml:space="preserve">     tolerances for that measurement, according to the official</t>
  </si>
  <si>
    <t xml:space="preserve">     rules.  If you are looking at the worksheet on the screen, be</t>
  </si>
  <si>
    <t xml:space="preserve">     sure to scroll over to the right to examine the one or two data</t>
  </si>
  <si>
    <t xml:space="preserve">     columns which are lurking there.  Triple check the input data</t>
  </si>
  <si>
    <t xml:space="preserve">     relating to any buoy(s) which are involved in any such out-of-</t>
  </si>
  <si>
    <t xml:space="preserve">     tolerance situations, before starting to move buoys around.</t>
  </si>
  <si>
    <t xml:space="preserve">     Large sighting errors can result from a number of possible</t>
  </si>
  <si>
    <t xml:space="preserve">     conditions -- refer to the READSRV.TXT instruction file for</t>
  </si>
  <si>
    <t xml:space="preserve">     suggestions on diagnosing and solving such problems.</t>
  </si>
  <si>
    <t xml:space="preserve">     Note that there are two baseline consistency check values shown</t>
  </si>
  <si>
    <t xml:space="preserve">     on the BSLN row:  The value under the Sighting Error column</t>
  </si>
  <si>
    <t xml:space="preserve">     reports on the actual values of the baseline cross-sightings,</t>
  </si>
  <si>
    <t xml:space="preserve">     showing any deviation (in seconds) from a perfect 180 degree</t>
  </si>
  <si>
    <t xml:space="preserve">     triangle.  The other value (under the Y-Pos column) reports on</t>
  </si>
  <si>
    <t xml:space="preserve">     the sum of the discrepancies between the actual vertex angles</t>
  </si>
  <si>
    <t xml:space="preserve">     of the basepoint triangle as reported by the cross-sightings,</t>
  </si>
  <si>
    <t xml:space="preserve">     and the derived vertex angles which are implied by the reported</t>
  </si>
  <si>
    <t xml:space="preserve">     baseline segment distances -- again reported in seconds.  Large</t>
  </si>
  <si>
    <t xml:space="preserve">     values appearing at either of these check points indicates some</t>
  </si>
  <si>
    <t xml:space="preserve">     inconsistency with either your cross-sightings, or your base-</t>
  </si>
  <si>
    <t xml:space="preserve">     line measurements, or both.  The values on row 103 report the</t>
  </si>
  <si>
    <t xml:space="preserve">     difference between the actual and derived vertex angle values</t>
  </si>
  <si>
    <t xml:space="preserve">     (in seconds) at each of the three basepoints -- review these if</t>
  </si>
  <si>
    <t xml:space="preserve">     you see large values at either of the two check points above.</t>
  </si>
  <si>
    <t xml:space="preserve">     Note that the section headed "Transformed Coordinates" shows</t>
  </si>
  <si>
    <t xml:space="preserve">     the X (up and down course) and Width locations of each buoy,</t>
  </si>
  <si>
    <t xml:space="preserve">     relative to a least squares best fit centerline down the center</t>
  </si>
  <si>
    <t xml:space="preserve">     of all the boat gate buoy pairs.  You should be aware that if</t>
  </si>
  <si>
    <t xml:space="preserve">     one or two buoys at either end of the course are significantly</t>
  </si>
  <si>
    <t xml:space="preserve">     off their nominal positions, that could result in several other</t>
  </si>
  <si>
    <t xml:space="preserve">     width measures showing out of tolerance, instead of (or in</t>
  </si>
  <si>
    <t xml:space="preserve">     addition to) the offending buoys.  Take this into consideration</t>
  </si>
  <si>
    <t xml:space="preserve">     in evaluating the results.</t>
  </si>
  <si>
    <t xml:space="preserve">  d) MAKING CORRECTIONS -- NEW FEATURES HERE -- CHECK THIS OUT !</t>
  </si>
  <si>
    <t xml:space="preserve">     This latest revision includes a lot of new features to help</t>
  </si>
  <si>
    <t xml:space="preserve">     you plan and execute corrections to a slalom course.  Those</t>
  </si>
  <si>
    <t xml:space="preserve">     features are located to the right of the primary data and</t>
  </si>
  <si>
    <t xml:space="preserve">     derivatives area, at the top of the spreadsheet.  To find this</t>
  </si>
  <si>
    <t xml:space="preserve">     section, scroll over to the right, to cell AA1.</t>
  </si>
  <si>
    <t xml:space="preserve">     We've included a control parameter at the top of this section,</t>
  </si>
  <si>
    <t xml:space="preserve">     that controls whether this section works with Metric or English</t>
  </si>
  <si>
    <t xml:space="preserve">     measures.  If cell AI4 contains a zero, then all error values</t>
  </si>
  <si>
    <t xml:space="preserve">     will be displayed in centimeters, and your inputs are assumed </t>
  </si>
  <si>
    <t xml:space="preserve">     to be expressed in cm as well.  If cell AI4 contains 1, then</t>
  </si>
  <si>
    <t xml:space="preserve">     the basis for both will be in inches instead of cm.  Since the</t>
  </si>
  <si>
    <t xml:space="preserve">     information you cook up in this section will eventually be used</t>
  </si>
  <si>
    <t xml:space="preserve">     to actually move things around later, you should use whichever</t>
  </si>
  <si>
    <t xml:space="preserve">     measurement basis you are more comfortable working with.</t>
  </si>
  <si>
    <t xml:space="preserve">     The top part of this section includes four sets of columns,</t>
  </si>
  <si>
    <t xml:space="preserve">     arranged from left to right.  The leftmost columns display the</t>
  </si>
  <si>
    <t xml:space="preserve">     unadjusted deviations from ideal placement, of each buoy or</t>
  </si>
  <si>
    <t xml:space="preserve">     object in your survey.  The "X-Pos" error column is the</t>
  </si>
  <si>
    <t xml:space="preserve">     deviation in the up-and-down-course direction, and the "Width"</t>
  </si>
  <si>
    <t xml:space="preserve">     error column is in the side-to-side direction.  These errors</t>
  </si>
  <si>
    <t xml:space="preserve">     are signed, with Positive values in X-Pos meaning away from the</t>
  </si>
  <si>
    <t xml:space="preserve">     P1-P2 end, and Positive values in Width meaning away from the</t>
  </si>
  <si>
    <t xml:space="preserve">     fitted centerline.  Negative values indicate the opposite</t>
  </si>
  <si>
    <t xml:space="preserve">     directions.</t>
  </si>
  <si>
    <t xml:space="preserve">     At the bottom of each column you will find an MAD (Mean</t>
  </si>
  <si>
    <t xml:space="preserve">     Absolute Deviation) statistic, which is the average of the</t>
  </si>
  <si>
    <t xml:space="preserve">     absolute values of the errors, in that respective direction.</t>
  </si>
  <si>
    <t xml:space="preserve">     The second set of columns is where you will input your plan of</t>
  </si>
  <si>
    <t xml:space="preserve">     correction movements, with each movement separated into X-Pos</t>
  </si>
  <si>
    <t xml:space="preserve">     and Width components.  These are also signed values, with the</t>
  </si>
  <si>
    <t xml:space="preserve">     signs meaning the same directions as cited above.</t>
  </si>
  <si>
    <t xml:space="preserve">     The third set of columns presents Revised errors.  Assuming</t>
  </si>
  <si>
    <t xml:space="preserve">     that any correction movements you plan will actually be made,</t>
  </si>
  <si>
    <t xml:space="preserve">     this fits a new centerline to that revised gate layout, and</t>
  </si>
  <si>
    <t xml:space="preserve">     then calculates new error values from that new basis line for</t>
  </si>
  <si>
    <t xml:space="preserve">     each object in the revised layout.  There are also revised</t>
  </si>
  <si>
    <t xml:space="preserve">     MAD statistics shown at the bottom of each column.</t>
  </si>
  <si>
    <t xml:space="preserve">     The fourth set of columns displays revised EDM sightings, as</t>
  </si>
  <si>
    <t xml:space="preserve">     would be seen from survey Station B, of each object for which</t>
  </si>
  <si>
    <t xml:space="preserve">     you have input a correction movement.  Once you finalize your</t>
  </si>
  <si>
    <t xml:space="preserve">     movement plan, this data can be used to actually accomplish</t>
  </si>
  <si>
    <t xml:space="preserve">     those specific movements.  Note that the EDM Distance values</t>
  </si>
  <si>
    <t xml:space="preserve">     shown for each sighting will always be expressed in meters --</t>
  </si>
  <si>
    <t xml:space="preserve">     the Centimeters/Inches control parameter at the top only</t>
  </si>
  <si>
    <t xml:space="preserve">     applies to the deviation and movement plan columns.</t>
  </si>
  <si>
    <t xml:space="preserve">     Both the Initial and Revised width columns are accompanied by</t>
  </si>
  <si>
    <t xml:space="preserve">     a tolerance check column.  The revised section will continue</t>
  </si>
  <si>
    <t xml:space="preserve">     to change, as your movement plan develops.  There is also a</t>
  </si>
  <si>
    <t xml:space="preserve">     complete length measurement derivation and check area at the</t>
  </si>
  <si>
    <t xml:space="preserve">     bottom of this section, which reflects all of your planned</t>
  </si>
  <si>
    <t xml:space="preserve">     movements.  The content here is almost identical to what is</t>
  </si>
  <si>
    <t xml:space="preserve">     shown in the primary measurement section, except that this</t>
  </si>
  <si>
    <t xml:space="preserve">     area will reflect the effects of your planned corrections.</t>
  </si>
  <si>
    <t xml:space="preserve">     RECOMMENDED PROCEDURE TO DEVELOP A CORRECTION PLAN --</t>
  </si>
  <si>
    <t xml:space="preserve">     Since the fitted centerline is based on the locations of all</t>
  </si>
  <si>
    <t xml:space="preserve">     20 gate buoys, moving ANY of these buoys will then also move</t>
  </si>
  <si>
    <t xml:space="preserve">     the centerline, which in turn will affect all of the other</t>
  </si>
  <si>
    <t xml:space="preserve">     deviation values for the whole layout.  Consequently, you</t>
  </si>
  <si>
    <t xml:space="preserve">     need to develop your correction plan in a specific step-by-</t>
  </si>
  <si>
    <t xml:space="preserve">     step fashion, and in a specific order.  After you enter each</t>
  </si>
  <si>
    <t xml:space="preserve">     planned movement value, then press the F9 key to recalculate</t>
  </si>
  <si>
    <t xml:space="preserve">     the spreadsheet to reflect that change, and then observe the</t>
  </si>
  <si>
    <t xml:space="preserve">     effect of that change on all the other measurements.  Follow</t>
  </si>
  <si>
    <t xml:space="preserve">     that same procedure through the following areas:</t>
  </si>
  <si>
    <t xml:space="preserve">         1) First plan side-to-side corrections in the gate</t>
  </si>
  <si>
    <t xml:space="preserve">            buoys, beginning with those which are most</t>
  </si>
  <si>
    <t xml:space="preserve">            obviously out of line with the others.  The</t>
  </si>
  <si>
    <t xml:space="preserve">            objective here is to eliminate all the Width</t>
  </si>
  <si>
    <t xml:space="preserve">            error tolerance checks, and/or to reduce the MAD</t>
  </si>
  <si>
    <t xml:space="preserve">            value which appears at the bottom of the revised</t>
  </si>
  <si>
    <t xml:space="preserve">            Width error column.</t>
  </si>
  <si>
    <t xml:space="preserve">         2) Then plan the up-and-down-course movements of</t>
  </si>
  <si>
    <t xml:space="preserve">            the gate buoys.  The objective here is to elim-</t>
  </si>
  <si>
    <t xml:space="preserve">            inate all the Length tolerance checks in the</t>
  </si>
  <si>
    <t xml:space="preserve">            Length check area at the bottom of this section,</t>
  </si>
  <si>
    <t xml:space="preserve">            and/or to reduce the MAD value which appears at</t>
  </si>
  <si>
    <t xml:space="preserve">            the bottom of the revised X-Pos error column.</t>
  </si>
  <si>
    <t xml:space="preserve">         3) Once the gate layout has been corrected, THEN you</t>
  </si>
  <si>
    <t xml:space="preserve">            should plan any necessary movements to the skier</t>
  </si>
  <si>
    <t xml:space="preserve">            buoys, based on their relationships to the revised</t>
  </si>
  <si>
    <t xml:space="preserve">            refitted centerline.  Use the "Thru Skier Buoys"</t>
  </si>
  <si>
    <t xml:space="preserve">            section at the lower right and the Width errors</t>
  </si>
  <si>
    <t xml:space="preserve">            on those skier buoy rows as guidance, and also</t>
  </si>
  <si>
    <t xml:space="preserve">            check the revised "Skier Buoy Average Width".</t>
  </si>
  <si>
    <t xml:space="preserve">         4) Finally you can figure corrections in your Judges</t>
  </si>
  <si>
    <t xml:space="preserve">            tower markers, to correct the angle to the final</t>
  </si>
  <si>
    <t xml:space="preserve">            entrance gate locations.  It's easiest to plan</t>
  </si>
  <si>
    <t xml:space="preserve">            these corrections in the up-and-down-course</t>
  </si>
  <si>
    <t xml:space="preserve">            direction, although your shoreline configuration</t>
  </si>
  <si>
    <t xml:space="preserve">            may dictate movement in both axis directions, in</t>
  </si>
  <si>
    <t xml:space="preserve">            order to get the angle you want.  Note that the</t>
  </si>
  <si>
    <t xml:space="preserve">            Ideal angle is 44 degrees, and the +/- tolerance</t>
  </si>
  <si>
    <t xml:space="preserve">            is 3 degrees -- hence the "Good" range is 41-47.</t>
  </si>
  <si>
    <t xml:space="preserve">     Then once you're satisfied with your correction plan, you</t>
  </si>
  <si>
    <t xml:space="preserve">     should print out a copy of this section (note the print</t>
  </si>
  <si>
    <t xml:space="preserve">     range cited at the top of this section), and use that data</t>
  </si>
  <si>
    <t xml:space="preserve">     to execute your movements.  If you have an EDM instrument,</t>
  </si>
  <si>
    <t xml:space="preserve">     you can guide the corrections using the "Revised Sightings"</t>
  </si>
  <si>
    <t xml:space="preserve">     shown in the rightmost columns, which will have been</t>
  </si>
  <si>
    <t xml:space="preserve">     figured from your existing survey basepoint "B".</t>
  </si>
  <si>
    <t xml:space="preserve">     Alternatively, you can accomplish your corrections thru</t>
  </si>
  <si>
    <t xml:space="preserve">     visual alignment of each buoy to be moved, relative to it's</t>
  </si>
  <si>
    <t xml:space="preserve">     adjacent neighbors in both directions.  Separate observers</t>
  </si>
  <si>
    <t xml:space="preserve">     (coaches) in both the up-and-down-course and side-to-side</t>
  </si>
  <si>
    <t xml:space="preserve">     directions, will help ensure that those movements are</t>
  </si>
  <si>
    <t xml:space="preserve">     accomplished as intended.  As an additional aid to this</t>
  </si>
  <si>
    <t xml:space="preserve">     procedure, the revised spreadsheets also include a visual</t>
  </si>
  <si>
    <t xml:space="preserve">     "Correction Movement Map" section, which you can print</t>
  </si>
  <si>
    <t xml:space="preserve">     out and work from.  Scroll over to column BA1 to find</t>
  </si>
  <si>
    <t xml:space="preserve">     this new section and the associated print range.</t>
  </si>
  <si>
    <t xml:space="preserve">  e) After making any adjustments and/or corrections (and reshooting</t>
  </si>
  <si>
    <t xml:space="preserve">     all or part of the survey if necessary and re-processing the</t>
  </si>
  <si>
    <t xml:space="preserve">     results), print out a final copy of the worksheet and attach it</t>
  </si>
  <si>
    <t xml:space="preserve">     to the Technical Controller's report from the tournament.  Save</t>
  </si>
  <si>
    <t xml:space="preserve">     a copy of the completed worksheet file -- DON'T save it to the</t>
  </si>
  <si>
    <t xml:space="preserve">     original SLMSURV3 file name (which will wipe out your master</t>
  </si>
  <si>
    <t xml:space="preserve">     copy of the template), but save it under a name which will</t>
  </si>
  <si>
    <t xml:space="preserve">     help you identify it, if and when you need to access</t>
  </si>
  <si>
    <t xml:space="preserve">     it again at a later date.</t>
  </si>
  <si>
    <t xml:space="preserve">  ----------------------------------------------------------</t>
  </si>
  <si>
    <t xml:space="preserve">  Lotus 1-2-3 Template revised June, 2000 by David Clark</t>
  </si>
  <si>
    <t xml:space="preserve">  (Chairman, AWSA Technical Committee) from a spreadsheet</t>
  </si>
  <si>
    <t xml:space="preserve">  originally developed by Brian Keller.</t>
  </si>
  <si>
    <t>Okeheelee Main Lake</t>
  </si>
  <si>
    <t>7/4/2003</t>
  </si>
  <si>
    <t>Stakes are at South Gate, 4 ball going north, and North Gate</t>
  </si>
  <si>
    <t>Okeeheelee Park North South (from island side)</t>
  </si>
</sst>
</file>

<file path=xl/styles.xml><?xml version="1.0" encoding="utf-8"?>
<styleSheet xmlns="http://schemas.openxmlformats.org/spreadsheetml/2006/main">
  <numFmts count="6">
    <numFmt numFmtId="164" formatCode="0.000_)"/>
    <numFmt numFmtId="165" formatCode="0_)"/>
    <numFmt numFmtId="166" formatCode="0.00_)"/>
    <numFmt numFmtId="167" formatCode="0.0_)"/>
    <numFmt numFmtId="168" formatCode="mmm\-yy_)"/>
    <numFmt numFmtId="169" formatCode="0.0000_)"/>
  </numFmts>
  <fonts count="8">
    <font>
      <sz val="10"/>
      <name val="Courier"/>
    </font>
    <font>
      <sz val="10"/>
      <color indexed="12"/>
      <name val="Courier"/>
    </font>
    <font>
      <sz val="8"/>
      <name val="Courier"/>
    </font>
    <font>
      <sz val="10"/>
      <color indexed="10"/>
      <name val="Courier"/>
    </font>
    <font>
      <sz val="10"/>
      <color indexed="17"/>
      <name val="Courier"/>
    </font>
    <font>
      <b/>
      <sz val="10"/>
      <color indexed="12"/>
      <name val="Courier"/>
    </font>
    <font>
      <b/>
      <sz val="10"/>
      <color indexed="10"/>
      <name val="Courier"/>
    </font>
    <font>
      <b/>
      <sz val="10"/>
      <color indexed="17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right"/>
    </xf>
    <xf numFmtId="164" fontId="1" fillId="0" borderId="0" xfId="0" applyNumberFormat="1" applyFont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fill"/>
    </xf>
    <xf numFmtId="0" fontId="1" fillId="0" borderId="0" xfId="0" applyFont="1" applyAlignment="1" applyProtection="1">
      <alignment horizontal="right"/>
      <protection locked="0"/>
    </xf>
    <xf numFmtId="165" fontId="0" fillId="0" borderId="0" xfId="0" applyNumberFormat="1" applyProtection="1"/>
    <xf numFmtId="164" fontId="0" fillId="0" borderId="0" xfId="0" applyNumberFormat="1" applyProtection="1"/>
    <xf numFmtId="166" fontId="0" fillId="0" borderId="0" xfId="0" applyNumberFormat="1" applyProtection="1"/>
    <xf numFmtId="167" fontId="0" fillId="0" borderId="0" xfId="0" applyNumberFormat="1" applyProtection="1"/>
    <xf numFmtId="167" fontId="1" fillId="0" borderId="0" xfId="0" applyNumberFormat="1" applyFont="1" applyProtection="1">
      <protection locked="0"/>
    </xf>
    <xf numFmtId="168" fontId="0" fillId="0" borderId="0" xfId="0" applyNumberFormat="1" applyProtection="1"/>
    <xf numFmtId="169" fontId="0" fillId="0" borderId="0" xfId="0" applyNumberFormat="1" applyProtection="1"/>
    <xf numFmtId="0" fontId="3" fillId="0" borderId="0" xfId="0" applyFont="1" applyAlignment="1" applyProtection="1">
      <alignment horizontal="left"/>
    </xf>
    <xf numFmtId="165" fontId="3" fillId="0" borderId="0" xfId="0" applyNumberFormat="1" applyFont="1" applyProtection="1"/>
    <xf numFmtId="164" fontId="3" fillId="0" borderId="0" xfId="0" applyNumberFormat="1" applyFont="1" applyProtection="1"/>
    <xf numFmtId="166" fontId="3" fillId="0" borderId="0" xfId="0" applyNumberFormat="1" applyFont="1" applyProtection="1"/>
    <xf numFmtId="0" fontId="3" fillId="0" borderId="0" xfId="0" applyFont="1"/>
    <xf numFmtId="167" fontId="3" fillId="0" borderId="0" xfId="0" applyNumberFormat="1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</xf>
    <xf numFmtId="165" fontId="4" fillId="0" borderId="0" xfId="0" applyNumberFormat="1" applyFont="1" applyProtection="1"/>
    <xf numFmtId="164" fontId="4" fillId="0" borderId="0" xfId="0" applyNumberFormat="1" applyFont="1" applyProtection="1"/>
    <xf numFmtId="166" fontId="4" fillId="0" borderId="0" xfId="0" applyNumberFormat="1" applyFont="1" applyProtection="1"/>
    <xf numFmtId="0" fontId="4" fillId="0" borderId="0" xfId="0" applyFont="1"/>
    <xf numFmtId="167" fontId="4" fillId="0" borderId="0" xfId="0" applyNumberFormat="1" applyFont="1" applyProtection="1"/>
    <xf numFmtId="0" fontId="4" fillId="0" borderId="0" xfId="0" applyFont="1" applyProtection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14" fontId="1" fillId="0" borderId="0" xfId="0" quotePrefix="1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NumberFormat="1" applyFont="1" applyAlignment="1" applyProtection="1">
      <alignment horizontal="right"/>
      <protection locked="0"/>
    </xf>
    <xf numFmtId="0" fontId="1" fillId="0" borderId="0" xfId="0" quotePrefix="1" applyFont="1" applyAlignment="1" applyProtection="1">
      <alignment horizontal="left"/>
      <protection locked="0"/>
    </xf>
    <xf numFmtId="166" fontId="3" fillId="0" borderId="0" xfId="0" applyNumberFormat="1" applyFont="1" applyProtection="1">
      <protection locked="0"/>
    </xf>
    <xf numFmtId="166" fontId="1" fillId="0" borderId="0" xfId="0" applyNumberFormat="1" applyFont="1" applyProtection="1">
      <protection locked="0"/>
    </xf>
    <xf numFmtId="166" fontId="4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/>
  <dimension ref="A1:BW405"/>
  <sheetViews>
    <sheetView showGridLines="0" tabSelected="1" workbookViewId="0">
      <selection activeCell="D27" sqref="D27"/>
    </sheetView>
  </sheetViews>
  <sheetFormatPr defaultColWidth="8.625" defaultRowHeight="12"/>
  <cols>
    <col min="1" max="1" width="4.625" customWidth="1"/>
    <col min="2" max="2" width="9.625" customWidth="1"/>
    <col min="3" max="4" width="4.625" customWidth="1"/>
    <col min="5" max="5" width="7.625" customWidth="1"/>
    <col min="6" max="7" width="4.625" customWidth="1"/>
    <col min="8" max="8" width="7.625" customWidth="1"/>
    <col min="9" max="10" width="4.625" customWidth="1"/>
    <col min="11" max="11" width="2.75" customWidth="1"/>
    <col min="12" max="12" width="8.875" bestFit="1" customWidth="1"/>
    <col min="13" max="13" width="9.875" bestFit="1" customWidth="1"/>
    <col min="14" max="14" width="2.625" customWidth="1"/>
    <col min="15" max="15" width="8.875" bestFit="1" customWidth="1"/>
    <col min="16" max="16" width="9.875" bestFit="1" customWidth="1"/>
    <col min="17" max="17" width="2.625" customWidth="1"/>
    <col min="20" max="20" width="3.5" customWidth="1"/>
    <col min="23" max="26" width="5.625" customWidth="1"/>
    <col min="27" max="27" width="6.625" customWidth="1"/>
    <col min="30" max="31" width="2.625" customWidth="1"/>
    <col min="34" max="34" width="2.625" customWidth="1"/>
    <col min="37" max="37" width="2.625" customWidth="1"/>
    <col min="39" max="39" width="7.625" customWidth="1"/>
    <col min="40" max="41" width="4.625" customWidth="1"/>
    <col min="42" max="44" width="5.625" customWidth="1"/>
    <col min="45" max="45" width="6.625" customWidth="1"/>
    <col min="46" max="47" width="5.625" customWidth="1"/>
    <col min="48" max="48" width="6.625" customWidth="1"/>
    <col min="49" max="52" width="5.625" customWidth="1"/>
    <col min="53" max="53" width="2.625" customWidth="1"/>
    <col min="54" max="54" width="4.625" customWidth="1"/>
    <col min="55" max="55" width="5.625" customWidth="1"/>
    <col min="56" max="56" width="4.625" customWidth="1"/>
    <col min="57" max="57" width="2.625" customWidth="1"/>
    <col min="58" max="58" width="4.625" customWidth="1"/>
    <col min="59" max="59" width="2.625" customWidth="1"/>
    <col min="60" max="60" width="4.625" customWidth="1"/>
    <col min="61" max="61" width="5.625" customWidth="1"/>
    <col min="62" max="62" width="4.625" customWidth="1"/>
    <col min="63" max="63" width="2.625" customWidth="1"/>
    <col min="64" max="64" width="4.625" customWidth="1"/>
    <col min="65" max="65" width="2.625" customWidth="1"/>
    <col min="66" max="66" width="4.625" customWidth="1"/>
    <col min="67" max="67" width="5.625" customWidth="1"/>
    <col min="68" max="68" width="4.625" customWidth="1"/>
    <col min="69" max="69" width="2.625" customWidth="1"/>
    <col min="70" max="70" width="4.625" customWidth="1"/>
    <col min="71" max="71" width="2.625" customWidth="1"/>
    <col min="72" max="72" width="4.625" customWidth="1"/>
    <col min="73" max="73" width="5.625" customWidth="1"/>
    <col min="74" max="74" width="4.625" customWidth="1"/>
    <col min="75" max="75" width="2.625" customWidth="1"/>
  </cols>
  <sheetData>
    <row r="1" spans="1:70">
      <c r="A1" s="1" t="s">
        <v>0</v>
      </c>
      <c r="P1" s="1" t="s">
        <v>1</v>
      </c>
      <c r="AA1" s="1" t="s">
        <v>2</v>
      </c>
      <c r="BA1" s="1" t="s">
        <v>3</v>
      </c>
    </row>
    <row r="3" spans="1:70">
      <c r="A3" s="41" t="s">
        <v>459</v>
      </c>
      <c r="C3" s="3"/>
      <c r="D3" s="3"/>
      <c r="E3" s="3"/>
      <c r="F3" s="3"/>
      <c r="G3" s="3"/>
      <c r="H3" s="3"/>
      <c r="I3" s="3"/>
      <c r="J3" s="1" t="s">
        <v>4</v>
      </c>
      <c r="M3" s="35">
        <v>39568</v>
      </c>
      <c r="P3" s="35">
        <v>39568</v>
      </c>
      <c r="AA3" s="2" t="s">
        <v>5</v>
      </c>
      <c r="AI3" s="1" t="s">
        <v>6</v>
      </c>
      <c r="BA3" s="2" t="s">
        <v>456</v>
      </c>
      <c r="BB3" s="3"/>
      <c r="BC3" s="3"/>
      <c r="BD3" s="3"/>
      <c r="BE3" s="3"/>
      <c r="BF3" s="3"/>
      <c r="BG3" s="3"/>
      <c r="BH3" s="3"/>
      <c r="BI3" s="3"/>
      <c r="BJ3" s="3"/>
      <c r="BK3" s="3"/>
      <c r="BN3" s="1" t="s">
        <v>7</v>
      </c>
      <c r="BQ3" s="36" t="s">
        <v>457</v>
      </c>
    </row>
    <row r="4" spans="1:70">
      <c r="B4" s="3"/>
      <c r="C4" s="3"/>
      <c r="D4" s="3"/>
      <c r="E4" s="3"/>
      <c r="F4" s="3"/>
      <c r="G4" s="3"/>
      <c r="H4" s="3"/>
      <c r="I4" s="3"/>
      <c r="P4" s="2"/>
      <c r="AA4" s="2" t="s">
        <v>8</v>
      </c>
      <c r="AI4" s="3">
        <v>0</v>
      </c>
      <c r="AJ4" s="1" t="s">
        <v>9</v>
      </c>
    </row>
    <row r="5" spans="1:70">
      <c r="A5" s="2" t="s">
        <v>10</v>
      </c>
      <c r="H5" s="1" t="s">
        <v>11</v>
      </c>
      <c r="L5" s="4" t="s">
        <v>12</v>
      </c>
      <c r="M5" s="4" t="s">
        <v>13</v>
      </c>
      <c r="O5" s="4" t="s">
        <v>14</v>
      </c>
      <c r="BA5" s="1" t="s">
        <v>15</v>
      </c>
      <c r="BQ5" s="1" t="s">
        <v>16</v>
      </c>
    </row>
    <row r="6" spans="1:70">
      <c r="A6" s="2" t="s">
        <v>17</v>
      </c>
      <c r="H6" s="1" t="s">
        <v>18</v>
      </c>
      <c r="L6" s="5">
        <v>108.95</v>
      </c>
      <c r="M6" s="5">
        <v>150.43700000000001</v>
      </c>
      <c r="O6" s="5">
        <v>259.387</v>
      </c>
      <c r="P6" s="1" t="s">
        <v>19</v>
      </c>
      <c r="AA6" s="1" t="s">
        <v>20</v>
      </c>
      <c r="AK6" s="2" t="s">
        <v>21</v>
      </c>
      <c r="BA6" s="1" t="s">
        <v>22</v>
      </c>
      <c r="BQ6" s="1" t="s">
        <v>23</v>
      </c>
    </row>
    <row r="7" spans="1:70">
      <c r="A7" s="2"/>
      <c r="B7" s="31"/>
      <c r="C7" s="31"/>
      <c r="D7" s="31"/>
      <c r="E7" s="31"/>
      <c r="F7" s="31"/>
      <c r="G7" s="34"/>
      <c r="H7" s="34"/>
      <c r="I7" s="31"/>
      <c r="J7" s="31"/>
      <c r="L7" s="5"/>
      <c r="M7" s="5"/>
      <c r="O7" s="5">
        <f>L6+M6</f>
        <v>259.387</v>
      </c>
      <c r="P7" s="1"/>
      <c r="AA7" s="1"/>
      <c r="AK7" s="2"/>
      <c r="BA7" s="1"/>
      <c r="BQ7" s="1"/>
    </row>
    <row r="8" spans="1:70">
      <c r="A8" s="2" t="s">
        <v>458</v>
      </c>
      <c r="H8" s="1"/>
      <c r="L8" s="5"/>
      <c r="M8" s="5"/>
      <c r="O8" s="5">
        <v>259.35000000000002</v>
      </c>
      <c r="P8" s="1"/>
      <c r="AA8" s="1"/>
      <c r="AK8" s="2"/>
      <c r="BA8" s="1"/>
      <c r="BQ8" s="1"/>
    </row>
    <row r="9" spans="1:70">
      <c r="P9" s="1" t="s">
        <v>24</v>
      </c>
      <c r="AA9" s="1" t="s">
        <v>25</v>
      </c>
      <c r="AK9" s="2" t="s">
        <v>26</v>
      </c>
      <c r="BA9" s="1" t="s">
        <v>27</v>
      </c>
      <c r="BQ9" s="6">
        <f>AI4</f>
        <v>0</v>
      </c>
      <c r="BR9" s="1" t="s">
        <v>28</v>
      </c>
    </row>
    <row r="10" spans="1:70">
      <c r="C10" s="1" t="s">
        <v>29</v>
      </c>
      <c r="K10" s="1" t="s">
        <v>30</v>
      </c>
      <c r="M10" s="1" t="s">
        <v>31</v>
      </c>
      <c r="P10" s="1" t="s">
        <v>32</v>
      </c>
      <c r="BA10" s="1" t="s">
        <v>33</v>
      </c>
      <c r="BR10" s="1" t="s">
        <v>34</v>
      </c>
    </row>
    <row r="11" spans="1:70">
      <c r="A11" s="1" t="s">
        <v>35</v>
      </c>
      <c r="B11" s="1" t="s">
        <v>36</v>
      </c>
      <c r="C11" s="7" t="s">
        <v>37</v>
      </c>
      <c r="D11" s="7" t="s">
        <v>37</v>
      </c>
      <c r="E11" s="7" t="s">
        <v>37</v>
      </c>
      <c r="F11" s="7" t="s">
        <v>37</v>
      </c>
      <c r="G11" s="7" t="s">
        <v>37</v>
      </c>
      <c r="H11" s="7" t="s">
        <v>37</v>
      </c>
      <c r="I11" s="7" t="s">
        <v>37</v>
      </c>
      <c r="J11" s="1" t="s">
        <v>38</v>
      </c>
      <c r="K11" s="1" t="s">
        <v>39</v>
      </c>
      <c r="M11" s="1" t="s">
        <v>40</v>
      </c>
      <c r="P11" s="1" t="s">
        <v>41</v>
      </c>
      <c r="AA11" s="1" t="s">
        <v>35</v>
      </c>
      <c r="AB11" s="1" t="s">
        <v>42</v>
      </c>
      <c r="AF11" s="1" t="s">
        <v>43</v>
      </c>
      <c r="AI11" s="1" t="s">
        <v>44</v>
      </c>
      <c r="AL11" s="1" t="s">
        <v>45</v>
      </c>
    </row>
    <row r="12" spans="1:70">
      <c r="A12" s="1" t="s">
        <v>46</v>
      </c>
      <c r="B12" s="1" t="s">
        <v>47</v>
      </c>
      <c r="E12" s="1" t="s">
        <v>48</v>
      </c>
      <c r="H12" s="1" t="s">
        <v>49</v>
      </c>
      <c r="K12" s="1" t="s">
        <v>50</v>
      </c>
      <c r="M12" s="1" t="s">
        <v>51</v>
      </c>
      <c r="P12" s="4" t="s">
        <v>52</v>
      </c>
      <c r="R12" s="4" t="s">
        <v>53</v>
      </c>
      <c r="S12" s="1" t="s">
        <v>54</v>
      </c>
      <c r="AA12" s="1" t="s">
        <v>55</v>
      </c>
      <c r="AB12" s="1" t="s">
        <v>56</v>
      </c>
      <c r="AF12" s="1" t="s">
        <v>57</v>
      </c>
      <c r="AI12" s="1" t="s">
        <v>56</v>
      </c>
      <c r="AL12" s="1" t="s">
        <v>58</v>
      </c>
    </row>
    <row r="13" spans="1:70">
      <c r="A13" s="1" t="s">
        <v>59</v>
      </c>
      <c r="B13" s="4" t="s">
        <v>60</v>
      </c>
      <c r="C13" s="1" t="s">
        <v>61</v>
      </c>
      <c r="D13" s="1" t="s">
        <v>62</v>
      </c>
      <c r="E13" s="4" t="s">
        <v>60</v>
      </c>
      <c r="F13" s="1" t="s">
        <v>61</v>
      </c>
      <c r="G13" s="1" t="s">
        <v>62</v>
      </c>
      <c r="H13" s="4" t="s">
        <v>60</v>
      </c>
      <c r="I13" s="1" t="s">
        <v>61</v>
      </c>
      <c r="J13" s="1" t="s">
        <v>62</v>
      </c>
      <c r="K13" s="1" t="s">
        <v>63</v>
      </c>
      <c r="L13" s="4" t="s">
        <v>64</v>
      </c>
      <c r="M13" s="4" t="s">
        <v>65</v>
      </c>
      <c r="O13" s="4" t="s">
        <v>66</v>
      </c>
      <c r="P13" s="4" t="s">
        <v>64</v>
      </c>
      <c r="R13" s="4" t="s">
        <v>67</v>
      </c>
      <c r="S13" s="1" t="s">
        <v>68</v>
      </c>
      <c r="AA13" s="1" t="s">
        <v>69</v>
      </c>
      <c r="AB13" s="4" t="s">
        <v>65</v>
      </c>
      <c r="AC13" s="4" t="s">
        <v>66</v>
      </c>
      <c r="AD13" s="1" t="s">
        <v>63</v>
      </c>
      <c r="AF13" s="4" t="s">
        <v>65</v>
      </c>
      <c r="AG13" s="4" t="s">
        <v>66</v>
      </c>
      <c r="AI13" s="4" t="s">
        <v>65</v>
      </c>
      <c r="AJ13" s="4" t="s">
        <v>66</v>
      </c>
      <c r="AK13" s="1" t="s">
        <v>63</v>
      </c>
      <c r="AL13" s="4" t="s">
        <v>70</v>
      </c>
      <c r="AM13" s="4" t="s">
        <v>60</v>
      </c>
      <c r="AN13" s="4" t="s">
        <v>61</v>
      </c>
      <c r="AO13" s="4" t="s">
        <v>62</v>
      </c>
      <c r="BA13" s="2" t="s">
        <v>71</v>
      </c>
      <c r="BB13" s="3"/>
      <c r="BC13" s="3"/>
      <c r="BG13" s="6">
        <f>IF($BI13+$BI15+$BJ14+$BH14&gt;0,99999,0)</f>
        <v>0</v>
      </c>
      <c r="BH13" s="6">
        <f>$BG$13</f>
        <v>0</v>
      </c>
      <c r="BI13" s="6">
        <f>IF(AF16&lt;0,ABS(AF16),0)</f>
        <v>0</v>
      </c>
      <c r="BJ13" s="6">
        <f>$BG$13</f>
        <v>0</v>
      </c>
      <c r="BK13" s="6">
        <f>$BG$13</f>
        <v>0</v>
      </c>
      <c r="BM13" s="6">
        <f>IF($BO13+$BO15+$BN14+$BP14&gt;0,99999,0)</f>
        <v>0</v>
      </c>
      <c r="BN13" s="6">
        <f>$BM$13</f>
        <v>0</v>
      </c>
      <c r="BO13" s="6">
        <f>IF(AF15&lt;0,ABS(AF15),0)</f>
        <v>0</v>
      </c>
      <c r="BP13" s="6">
        <f>$BM$13</f>
        <v>0</v>
      </c>
      <c r="BQ13" s="6">
        <f>$BM$13</f>
        <v>0</v>
      </c>
    </row>
    <row r="14" spans="1:70">
      <c r="A14" s="1" t="s">
        <v>72</v>
      </c>
      <c r="B14" s="1" t="s">
        <v>36</v>
      </c>
      <c r="C14" s="7" t="s">
        <v>37</v>
      </c>
      <c r="D14" s="1" t="s">
        <v>38</v>
      </c>
      <c r="E14" s="1" t="s">
        <v>73</v>
      </c>
      <c r="F14" s="7" t="s">
        <v>37</v>
      </c>
      <c r="G14" s="1" t="s">
        <v>38</v>
      </c>
      <c r="H14" s="1" t="s">
        <v>73</v>
      </c>
      <c r="I14" s="7" t="s">
        <v>37</v>
      </c>
      <c r="J14" s="1" t="s">
        <v>38</v>
      </c>
      <c r="K14" s="1" t="s">
        <v>74</v>
      </c>
      <c r="M14" s="4" t="s">
        <v>75</v>
      </c>
      <c r="O14" s="4" t="s">
        <v>75</v>
      </c>
      <c r="P14" s="4" t="s">
        <v>75</v>
      </c>
      <c r="R14" s="4" t="s">
        <v>75</v>
      </c>
      <c r="S14" s="1" t="s">
        <v>76</v>
      </c>
      <c r="AA14" s="1" t="s">
        <v>77</v>
      </c>
      <c r="AB14" s="4" t="s">
        <v>75</v>
      </c>
      <c r="AC14" s="4" t="s">
        <v>76</v>
      </c>
      <c r="AF14" s="4" t="s">
        <v>75</v>
      </c>
      <c r="AG14" s="4" t="s">
        <v>75</v>
      </c>
      <c r="AI14" s="4" t="s">
        <v>75</v>
      </c>
      <c r="AJ14" s="4" t="s">
        <v>76</v>
      </c>
      <c r="AL14" s="1" t="s">
        <v>78</v>
      </c>
      <c r="AM14" s="1" t="s">
        <v>73</v>
      </c>
      <c r="AN14" s="7" t="s">
        <v>37</v>
      </c>
      <c r="AO14" s="1" t="s">
        <v>38</v>
      </c>
      <c r="BA14" s="2" t="s">
        <v>79</v>
      </c>
      <c r="BB14" s="3"/>
      <c r="BC14" s="3"/>
      <c r="BG14" s="6">
        <f>$BG$13</f>
        <v>0</v>
      </c>
      <c r="BH14" s="6">
        <f>IF(AG16&gt;0,ABS(AG16),0)</f>
        <v>0</v>
      </c>
      <c r="BI14" s="8" t="s">
        <v>80</v>
      </c>
      <c r="BJ14" s="6">
        <f>IF(AG16&lt;0,ABS(AG16),0)</f>
        <v>0</v>
      </c>
      <c r="BK14" s="6">
        <f>$BG$13</f>
        <v>0</v>
      </c>
      <c r="BM14" s="6">
        <f>$BM$13</f>
        <v>0</v>
      </c>
      <c r="BN14" s="6">
        <f>IF(AG15&lt;0,ABS(AG15),0)</f>
        <v>0</v>
      </c>
      <c r="BO14" s="8" t="s">
        <v>81</v>
      </c>
      <c r="BP14" s="6">
        <f>IF(AG15&gt;0,ABS(AG15),0)</f>
        <v>0</v>
      </c>
      <c r="BQ14" s="6">
        <f>$BM$13</f>
        <v>0</v>
      </c>
    </row>
    <row r="15" spans="1:70">
      <c r="A15" s="1" t="s">
        <v>81</v>
      </c>
      <c r="B15" s="31">
        <v>52</v>
      </c>
      <c r="C15" s="31">
        <v>26</v>
      </c>
      <c r="D15" s="31">
        <v>18</v>
      </c>
      <c r="E15" s="31">
        <v>23</v>
      </c>
      <c r="F15" s="31">
        <v>46</v>
      </c>
      <c r="G15" s="31">
        <v>48</v>
      </c>
      <c r="H15" s="31">
        <v>12</v>
      </c>
      <c r="I15" s="31">
        <v>57</v>
      </c>
      <c r="J15" s="31">
        <v>48</v>
      </c>
      <c r="K15" s="9">
        <f t="shared" ref="K15:K42" si="0">IF(L15&gt;0.1,99999,0)</f>
        <v>0</v>
      </c>
      <c r="L15" s="10">
        <f>IF(C73=0,0,2*SQRT((V73-R73)*(V73-S73)*(V73-U73)/V73)/(P73))</f>
        <v>5.5797694112096077E-2</v>
      </c>
      <c r="M15" s="11">
        <f t="shared" ref="M15:M42" si="1">(R143*COS(S143))</f>
        <v>-55.000365602815954</v>
      </c>
      <c r="O15" s="10">
        <f t="shared" ref="O15:O42" si="2">ABS(R143*SIN(S143))</f>
        <v>1.0700602605831788</v>
      </c>
      <c r="P15" s="5">
        <v>1.1499999999999999</v>
      </c>
      <c r="R15" s="10">
        <f>0.1*$P$15</f>
        <v>0.11499999999999999</v>
      </c>
      <c r="S15" s="10">
        <f>IF(C73=0,0,+O15-P15)</f>
        <v>-7.9939739416821087E-2</v>
      </c>
      <c r="T15" s="9">
        <f t="shared" ref="T15:T40" si="3">IF(ABS(S15)&gt;R15,99999,0)</f>
        <v>0</v>
      </c>
      <c r="AA15" s="1" t="s">
        <v>81</v>
      </c>
      <c r="AB15" s="12">
        <f>IF(B73=0,0,IF($AI$4=0,100*(M15-AB110),(M15-AB110)/0.0254))</f>
        <v>-3.6560281595399147E-2</v>
      </c>
      <c r="AC15" s="12">
        <f>IF(B73=0,0,IF($AI$4=0,100*(O15-AC110),(O15-AC110)/0.0254))</f>
        <v>-7.9939739416821087</v>
      </c>
      <c r="AD15" s="9">
        <f t="shared" ref="AD15:AD40" si="4">IF($AI$4=0,IF(ABS(AC15)*0.01&gt;$R15,99999,0),IF(ABS(AC15)*0.0254&gt;$R15,99999,0))</f>
        <v>0</v>
      </c>
      <c r="AF15" s="43"/>
      <c r="AG15" s="13"/>
      <c r="AI15" s="12">
        <f>IF(B73=0,0,IF($AI$4=0,100*(AF110-AB110),(AF110-AB110)/0.0254))</f>
        <v>-3.6560281595399147E-2</v>
      </c>
      <c r="AJ15" s="12">
        <f>IF(B73=0,0,IF($AI$4=0,100*(AG110-AC110),(AG110-AC110)/0.0254))</f>
        <v>-7.9939739416821087</v>
      </c>
      <c r="AK15" s="9">
        <f t="shared" ref="AK15:AK40" si="5">IF($AI$4=0,IF(ABS(AJ15)*0.01&gt;$R15,99999,0),IF(ABS(AJ15)*0.0254&gt;$R15,99999,0))</f>
        <v>0</v>
      </c>
      <c r="AL15" s="11">
        <f t="shared" ref="AL15:AL40" si="6">IF(AND(AF15=0,AG15=0),0,SQRT((AB143-$U$104)^2+(AC143-$V$104)^2))</f>
        <v>0</v>
      </c>
      <c r="AM15" s="6">
        <f t="shared" ref="AM15:AM40" si="7">TRUNC(AM73)</f>
        <v>0</v>
      </c>
      <c r="AN15" s="6">
        <f t="shared" ref="AN15:AN40" si="8">TRUNC(60*(AM73-AM15))</f>
        <v>0</v>
      </c>
      <c r="AO15" s="6">
        <f t="shared" ref="AO15:AO40" si="9">TRUNC(3600*(AM73-AM15-(AN15/60)))</f>
        <v>0</v>
      </c>
      <c r="BA15" s="2" t="s">
        <v>82</v>
      </c>
      <c r="BB15" s="3"/>
      <c r="BC15" s="3"/>
      <c r="BG15" s="6">
        <f>$BG$13</f>
        <v>0</v>
      </c>
      <c r="BH15" s="6">
        <f>$BG$13</f>
        <v>0</v>
      </c>
      <c r="BI15" s="6">
        <f>IF(AF16&gt;0,ABS(AF16),0)</f>
        <v>0</v>
      </c>
      <c r="BJ15" s="6">
        <f>$BG$13</f>
        <v>0</v>
      </c>
      <c r="BK15" s="6">
        <f>$BG$13</f>
        <v>0</v>
      </c>
      <c r="BM15" s="6">
        <f>$BM$13</f>
        <v>0</v>
      </c>
      <c r="BN15" s="6">
        <f>$BM$13</f>
        <v>0</v>
      </c>
      <c r="BO15" s="6">
        <f>IF(AF15&gt;0,ABS(AF15),0)</f>
        <v>0</v>
      </c>
      <c r="BP15" s="6">
        <f>$BM$13</f>
        <v>0</v>
      </c>
      <c r="BQ15" s="6">
        <f>$BM$13</f>
        <v>0</v>
      </c>
    </row>
    <row r="16" spans="1:70">
      <c r="A16" s="1" t="s">
        <v>80</v>
      </c>
      <c r="B16" s="31">
        <v>51</v>
      </c>
      <c r="C16" s="31">
        <v>32</v>
      </c>
      <c r="D16" s="31">
        <v>42</v>
      </c>
      <c r="E16" s="31">
        <v>23</v>
      </c>
      <c r="F16" s="31">
        <v>6</v>
      </c>
      <c r="G16" s="31">
        <v>24</v>
      </c>
      <c r="H16" s="31">
        <v>12</v>
      </c>
      <c r="I16" s="31">
        <v>33</v>
      </c>
      <c r="J16" s="31">
        <v>48</v>
      </c>
      <c r="K16" s="9">
        <f t="shared" si="0"/>
        <v>0</v>
      </c>
      <c r="L16" s="10">
        <f>IF(C74=0,0,2*SQRT((V74-R74)*(V74-S74)*(V74-U74)/V74)/(P74))</f>
        <v>7.0210188673040422E-2</v>
      </c>
      <c r="M16" s="11">
        <f t="shared" si="1"/>
        <v>-55.012563192394673</v>
      </c>
      <c r="O16" s="10">
        <f t="shared" si="2"/>
        <v>1.2433398307361305</v>
      </c>
      <c r="P16" s="10">
        <f>$P$15</f>
        <v>1.1499999999999999</v>
      </c>
      <c r="R16" s="10">
        <f>0.1*$P$15</f>
        <v>0.11499999999999999</v>
      </c>
      <c r="S16" s="10">
        <f>IF(C74=0,0,+O16-P16)</f>
        <v>9.3339830736130613E-2</v>
      </c>
      <c r="T16" s="9">
        <f t="shared" si="3"/>
        <v>0</v>
      </c>
      <c r="AA16" s="1" t="s">
        <v>80</v>
      </c>
      <c r="AB16" s="12">
        <f>IF(B74=0,0,IF($AI$4=0,100*(M16-AB111),(M16-AB111)/0.0254))</f>
        <v>-1.256319239467274</v>
      </c>
      <c r="AC16" s="12">
        <f>IF(B74=0,0,IF($AI$4=0,100*(O16-AC111),(O16-AC111)/0.0254))</f>
        <v>9.3339830736130622</v>
      </c>
      <c r="AD16" s="9">
        <f t="shared" si="4"/>
        <v>0</v>
      </c>
      <c r="AF16" s="43"/>
      <c r="AG16" s="13"/>
      <c r="AI16" s="12">
        <f>IF(B74=0,0,IF($AI$4=0,100*(AF111-AB111),(AF111-AB111)/0.0254))</f>
        <v>-1.256319239467274</v>
      </c>
      <c r="AJ16" s="12">
        <f>IF(B74=0,0,IF($AI$4=0,100*(AG111-AC111),(AG111-AC111)/0.0254))</f>
        <v>9.3339830736130622</v>
      </c>
      <c r="AK16" s="9">
        <f t="shared" si="5"/>
        <v>0</v>
      </c>
      <c r="AL16" s="11">
        <f t="shared" si="6"/>
        <v>0</v>
      </c>
      <c r="AM16" s="6">
        <f t="shared" si="7"/>
        <v>0</v>
      </c>
      <c r="AN16" s="6">
        <f t="shared" si="8"/>
        <v>0</v>
      </c>
      <c r="AO16" s="6">
        <f t="shared" si="9"/>
        <v>0</v>
      </c>
    </row>
    <row r="17" spans="1:75" s="20" customFormat="1" ht="13.5" customHeight="1">
      <c r="A17" s="16" t="s">
        <v>83</v>
      </c>
      <c r="B17" s="37">
        <v>89</v>
      </c>
      <c r="C17" s="32">
        <v>16</v>
      </c>
      <c r="D17" s="32">
        <v>42</v>
      </c>
      <c r="E17" s="32">
        <v>33</v>
      </c>
      <c r="F17" s="32">
        <v>48</v>
      </c>
      <c r="G17" s="32">
        <v>54</v>
      </c>
      <c r="H17" s="32">
        <v>15</v>
      </c>
      <c r="I17" s="32">
        <v>46</v>
      </c>
      <c r="J17" s="32">
        <v>42</v>
      </c>
      <c r="K17" s="17">
        <f t="shared" si="0"/>
        <v>0</v>
      </c>
      <c r="L17" s="18">
        <f t="shared" ref="L17:L38" si="10">2*SQRT((V75-R75)*(V75-S75)*(V75-U75)/V75)/(P75)</f>
        <v>3.3823494591541145E-2</v>
      </c>
      <c r="M17" s="19">
        <f t="shared" si="1"/>
        <v>-0.11604507924042201</v>
      </c>
      <c r="O17" s="18">
        <f t="shared" si="2"/>
        <v>1.2964952640487328</v>
      </c>
      <c r="P17" s="18">
        <v>1.25</v>
      </c>
      <c r="R17" s="18">
        <v>6.25E-2</v>
      </c>
      <c r="S17" s="18">
        <f t="shared" ref="S17:S38" si="11">O17-P17</f>
        <v>4.6495264048732832E-2</v>
      </c>
      <c r="T17" s="17">
        <f t="shared" si="3"/>
        <v>0</v>
      </c>
      <c r="AA17" s="16" t="s">
        <v>83</v>
      </c>
      <c r="AB17" s="21">
        <f t="shared" ref="AB17:AB38" si="12">IF($AI$4=0,100*(M17-AB112),(M17-AB112)/0.0254)</f>
        <v>-11.604507924042201</v>
      </c>
      <c r="AC17" s="21">
        <f t="shared" ref="AC17:AC38" si="13">IF($AI$4=0,100*(O17-AC112),(O17-AC112)/0.0254)</f>
        <v>4.6495264048732832</v>
      </c>
      <c r="AD17" s="17">
        <f t="shared" si="4"/>
        <v>0</v>
      </c>
      <c r="AF17" s="42"/>
      <c r="AG17" s="13"/>
      <c r="AI17" s="21">
        <f t="shared" ref="AI17:AI38" si="14">IF($AI$4=0,100*(AF112-AB112),(AF112-AB112)/0.0254)</f>
        <v>-11.604507924042201</v>
      </c>
      <c r="AJ17" s="21">
        <f t="shared" ref="AJ17:AJ38" si="15">IF($AI$4=0,100*(AG112-AC112),(AG112-AC112)/0.0254)</f>
        <v>4.6495264048732832</v>
      </c>
      <c r="AK17" s="17">
        <f t="shared" si="5"/>
        <v>0</v>
      </c>
      <c r="AL17" s="19">
        <f t="shared" si="6"/>
        <v>0</v>
      </c>
      <c r="AM17" s="22">
        <f t="shared" si="7"/>
        <v>0</v>
      </c>
      <c r="AN17" s="22">
        <f t="shared" si="8"/>
        <v>0</v>
      </c>
      <c r="AO17" s="22">
        <f t="shared" si="9"/>
        <v>0</v>
      </c>
    </row>
    <row r="18" spans="1:75" s="20" customFormat="1">
      <c r="A18" s="16" t="s">
        <v>84</v>
      </c>
      <c r="B18" s="32">
        <v>89</v>
      </c>
      <c r="C18" s="32">
        <v>16</v>
      </c>
      <c r="D18" s="32">
        <v>36</v>
      </c>
      <c r="E18" s="32">
        <v>32</v>
      </c>
      <c r="F18" s="32">
        <v>54</v>
      </c>
      <c r="G18" s="32">
        <v>36</v>
      </c>
      <c r="H18" s="32">
        <v>15</v>
      </c>
      <c r="I18" s="32">
        <v>16</v>
      </c>
      <c r="J18" s="32">
        <v>12</v>
      </c>
      <c r="K18" s="17">
        <f t="shared" si="0"/>
        <v>0</v>
      </c>
      <c r="L18" s="18">
        <f t="shared" si="10"/>
        <v>2.5046380025485999E-2</v>
      </c>
      <c r="M18" s="19">
        <f t="shared" si="1"/>
        <v>-0.12594911374112341</v>
      </c>
      <c r="O18" s="18">
        <f t="shared" si="2"/>
        <v>1.2024689196849689</v>
      </c>
      <c r="P18" s="18">
        <v>1.25</v>
      </c>
      <c r="R18" s="18">
        <v>6.25E-2</v>
      </c>
      <c r="S18" s="18">
        <f t="shared" si="11"/>
        <v>-4.753108031503106E-2</v>
      </c>
      <c r="T18" s="17">
        <f t="shared" si="3"/>
        <v>0</v>
      </c>
      <c r="AA18" s="16" t="s">
        <v>84</v>
      </c>
      <c r="AB18" s="21">
        <f t="shared" si="12"/>
        <v>-12.594911374112341</v>
      </c>
      <c r="AC18" s="21">
        <f t="shared" si="13"/>
        <v>-4.753108031503106</v>
      </c>
      <c r="AD18" s="17">
        <f t="shared" si="4"/>
        <v>0</v>
      </c>
      <c r="AF18" s="42"/>
      <c r="AG18" s="13"/>
      <c r="AI18" s="21">
        <f t="shared" si="14"/>
        <v>-12.594911374112341</v>
      </c>
      <c r="AJ18" s="21">
        <f t="shared" si="15"/>
        <v>-4.753108031503106</v>
      </c>
      <c r="AK18" s="17">
        <f t="shared" si="5"/>
        <v>0</v>
      </c>
      <c r="AL18" s="19">
        <f t="shared" si="6"/>
        <v>0</v>
      </c>
      <c r="AM18" s="22">
        <f t="shared" si="7"/>
        <v>0</v>
      </c>
      <c r="AN18" s="22">
        <f t="shared" si="8"/>
        <v>0</v>
      </c>
      <c r="AO18" s="22">
        <f t="shared" si="9"/>
        <v>0</v>
      </c>
      <c r="BG18" s="22">
        <f>IF($BI18+$BI20+$BJ19+$BH19&gt;0,99999,0)</f>
        <v>0</v>
      </c>
      <c r="BH18" s="22">
        <f>$BG$18</f>
        <v>0</v>
      </c>
      <c r="BI18" s="22">
        <f>IF(AF18&lt;0,ABS(AF18),0)</f>
        <v>0</v>
      </c>
      <c r="BJ18" s="22">
        <f>$BG$18</f>
        <v>0</v>
      </c>
      <c r="BK18" s="22">
        <f>$BG$18</f>
        <v>0</v>
      </c>
      <c r="BM18" s="22">
        <f>IF($BO18+$BO20+$BN19+$BP19&gt;0,99999,0)</f>
        <v>0</v>
      </c>
      <c r="BN18" s="22">
        <f>$BM$18</f>
        <v>0</v>
      </c>
      <c r="BO18" s="22">
        <f>IF(AF17&lt;0,ABS(AF17),0)</f>
        <v>0</v>
      </c>
      <c r="BP18" s="22">
        <f>$BM$18</f>
        <v>0</v>
      </c>
      <c r="BQ18" s="22">
        <f>$BM$18</f>
        <v>0</v>
      </c>
    </row>
    <row r="19" spans="1:75">
      <c r="A19" s="1" t="s">
        <v>85</v>
      </c>
      <c r="B19" s="31">
        <v>109</v>
      </c>
      <c r="C19" s="31">
        <v>22</v>
      </c>
      <c r="D19" s="31">
        <v>6</v>
      </c>
      <c r="E19" s="31">
        <v>41</v>
      </c>
      <c r="F19" s="31">
        <v>40</v>
      </c>
      <c r="G19" s="31">
        <v>12</v>
      </c>
      <c r="H19" s="31">
        <v>17</v>
      </c>
      <c r="I19" s="31">
        <v>33</v>
      </c>
      <c r="J19" s="31">
        <v>0</v>
      </c>
      <c r="K19" s="9">
        <f t="shared" si="0"/>
        <v>0</v>
      </c>
      <c r="L19" s="10">
        <f t="shared" si="10"/>
        <v>2.8583859192129284E-2</v>
      </c>
      <c r="M19" s="11">
        <f t="shared" si="1"/>
        <v>26.766154719041818</v>
      </c>
      <c r="O19" s="10">
        <f t="shared" si="2"/>
        <v>1.1861152256857805</v>
      </c>
      <c r="P19" s="10">
        <f>$P$15</f>
        <v>1.1499999999999999</v>
      </c>
      <c r="R19" s="10">
        <f>0.1*$P$15</f>
        <v>0.11499999999999999</v>
      </c>
      <c r="S19" s="10">
        <f t="shared" si="11"/>
        <v>3.6115225685780628E-2</v>
      </c>
      <c r="T19" s="9">
        <f t="shared" si="3"/>
        <v>0</v>
      </c>
      <c r="AA19" s="1" t="s">
        <v>85</v>
      </c>
      <c r="AB19" s="12">
        <f t="shared" si="12"/>
        <v>-23.384528095818169</v>
      </c>
      <c r="AC19" s="12">
        <f t="shared" si="13"/>
        <v>3.6115225685780628</v>
      </c>
      <c r="AD19" s="9">
        <f t="shared" si="4"/>
        <v>0</v>
      </c>
      <c r="AF19" s="42"/>
      <c r="AG19" s="13"/>
      <c r="AI19" s="12">
        <f t="shared" si="14"/>
        <v>-23.384528095818169</v>
      </c>
      <c r="AJ19" s="12">
        <f t="shared" si="15"/>
        <v>3.6115225685780628</v>
      </c>
      <c r="AK19" s="9">
        <f t="shared" si="5"/>
        <v>0</v>
      </c>
      <c r="AL19" s="11">
        <f t="shared" si="6"/>
        <v>0</v>
      </c>
      <c r="AM19" s="6">
        <f t="shared" si="7"/>
        <v>0</v>
      </c>
      <c r="AN19" s="6">
        <f t="shared" si="8"/>
        <v>0</v>
      </c>
      <c r="AO19" s="6">
        <f t="shared" si="9"/>
        <v>0</v>
      </c>
      <c r="BG19" s="6">
        <f>$BG$18</f>
        <v>0</v>
      </c>
      <c r="BH19" s="6">
        <f>IF(AG18&gt;0,ABS(AG18),0)</f>
        <v>0</v>
      </c>
      <c r="BI19" s="8" t="s">
        <v>84</v>
      </c>
      <c r="BJ19" s="6">
        <f>IF(AG18&lt;0,ABS(AG18),0)</f>
        <v>0</v>
      </c>
      <c r="BK19" s="6">
        <f>$BG$18</f>
        <v>0</v>
      </c>
      <c r="BM19" s="6">
        <f>$BM$18</f>
        <v>0</v>
      </c>
      <c r="BN19" s="6">
        <f>IF(AG17&lt;0,ABS(AG17),0)</f>
        <v>0</v>
      </c>
      <c r="BO19" s="8" t="s">
        <v>83</v>
      </c>
      <c r="BP19" s="6">
        <f>IF(AG17&gt;0,ABS(AG17),0)</f>
        <v>0</v>
      </c>
      <c r="BQ19" s="6">
        <f>$BM$18</f>
        <v>0</v>
      </c>
    </row>
    <row r="20" spans="1:75">
      <c r="A20" s="1" t="s">
        <v>86</v>
      </c>
      <c r="B20" s="31">
        <v>109</v>
      </c>
      <c r="C20" s="31">
        <v>58</v>
      </c>
      <c r="D20" s="31">
        <v>30</v>
      </c>
      <c r="E20" s="31">
        <v>40</v>
      </c>
      <c r="F20" s="31">
        <v>47</v>
      </c>
      <c r="G20" s="31">
        <v>12</v>
      </c>
      <c r="H20" s="31">
        <v>17</v>
      </c>
      <c r="I20" s="31">
        <v>2</v>
      </c>
      <c r="J20" s="31">
        <v>48</v>
      </c>
      <c r="K20" s="9">
        <f t="shared" si="0"/>
        <v>0</v>
      </c>
      <c r="L20" s="10">
        <f t="shared" si="10"/>
        <v>5.6381928406859293E-5</v>
      </c>
      <c r="M20" s="11">
        <f t="shared" si="1"/>
        <v>26.77326049435953</v>
      </c>
      <c r="O20" s="10">
        <f t="shared" si="2"/>
        <v>1.0906366351109809</v>
      </c>
      <c r="P20" s="10">
        <f>$P$15</f>
        <v>1.1499999999999999</v>
      </c>
      <c r="R20" s="10">
        <f>0.1*$P$15</f>
        <v>0.11499999999999999</v>
      </c>
      <c r="S20" s="10">
        <f t="shared" si="11"/>
        <v>-5.9363364889019055E-2</v>
      </c>
      <c r="T20" s="9">
        <f t="shared" si="3"/>
        <v>0</v>
      </c>
      <c r="AA20" s="1" t="s">
        <v>86</v>
      </c>
      <c r="AB20" s="12">
        <f t="shared" si="12"/>
        <v>-22.673950564047018</v>
      </c>
      <c r="AC20" s="12">
        <f t="shared" si="13"/>
        <v>-5.9363364889019055</v>
      </c>
      <c r="AD20" s="9">
        <f t="shared" si="4"/>
        <v>0</v>
      </c>
      <c r="AF20" s="42"/>
      <c r="AG20" s="13"/>
      <c r="AI20" s="12">
        <f t="shared" si="14"/>
        <v>-22.673950564047018</v>
      </c>
      <c r="AJ20" s="12">
        <f t="shared" si="15"/>
        <v>-5.9363364889019055</v>
      </c>
      <c r="AK20" s="9">
        <f t="shared" si="5"/>
        <v>0</v>
      </c>
      <c r="AL20" s="11">
        <f t="shared" si="6"/>
        <v>0</v>
      </c>
      <c r="AM20" s="6">
        <f t="shared" si="7"/>
        <v>0</v>
      </c>
      <c r="AN20" s="6">
        <f t="shared" si="8"/>
        <v>0</v>
      </c>
      <c r="AO20" s="6">
        <f t="shared" si="9"/>
        <v>0</v>
      </c>
      <c r="BG20" s="6">
        <f>$BG$18</f>
        <v>0</v>
      </c>
      <c r="BH20" s="6">
        <f>$BG$18</f>
        <v>0</v>
      </c>
      <c r="BI20" s="6">
        <f>IF(AF18&gt;0,ABS(AF18),0)</f>
        <v>0</v>
      </c>
      <c r="BJ20" s="6">
        <f>$BG$18</f>
        <v>0</v>
      </c>
      <c r="BK20" s="6">
        <f>$BG$18</f>
        <v>0</v>
      </c>
      <c r="BM20" s="6">
        <f>$BM$18</f>
        <v>0</v>
      </c>
      <c r="BN20" s="6">
        <f>IF($BO18+$BO20+$BN19+$BP19&gt;0,99999,0)</f>
        <v>0</v>
      </c>
      <c r="BO20" s="6">
        <f>IF(AF17&gt;0,ABS(AF17),0)</f>
        <v>0</v>
      </c>
      <c r="BP20" s="6">
        <f>$BM$18</f>
        <v>0</v>
      </c>
      <c r="BQ20" s="6">
        <f>$BM$18</f>
        <v>0</v>
      </c>
    </row>
    <row r="21" spans="1:75" s="20" customFormat="1">
      <c r="A21" s="16" t="s">
        <v>87</v>
      </c>
      <c r="B21" s="32">
        <v>113</v>
      </c>
      <c r="C21" s="32">
        <v>8</v>
      </c>
      <c r="D21" s="32">
        <v>6</v>
      </c>
      <c r="E21" s="32">
        <v>36</v>
      </c>
      <c r="F21" s="32">
        <v>29</v>
      </c>
      <c r="G21" s="32">
        <v>30</v>
      </c>
      <c r="H21" s="32">
        <v>14</v>
      </c>
      <c r="I21" s="32">
        <v>42</v>
      </c>
      <c r="J21" s="32">
        <v>18</v>
      </c>
      <c r="K21" s="17">
        <f t="shared" si="0"/>
        <v>0</v>
      </c>
      <c r="L21" s="18">
        <f t="shared" si="10"/>
        <v>2.6653496003965844E-2</v>
      </c>
      <c r="M21" s="19">
        <f t="shared" si="1"/>
        <v>26.788596093873387</v>
      </c>
      <c r="O21" s="18">
        <f t="shared" si="2"/>
        <v>11.431739375308835</v>
      </c>
      <c r="P21" s="18">
        <v>11.5</v>
      </c>
      <c r="R21" s="18">
        <v>0.115</v>
      </c>
      <c r="S21" s="18">
        <f t="shared" si="11"/>
        <v>-6.8260624691165006E-2</v>
      </c>
      <c r="T21" s="17">
        <f t="shared" si="3"/>
        <v>0</v>
      </c>
      <c r="AA21" s="16" t="s">
        <v>87</v>
      </c>
      <c r="AB21" s="21">
        <f t="shared" si="12"/>
        <v>-21.140390612661264</v>
      </c>
      <c r="AC21" s="21">
        <f t="shared" si="13"/>
        <v>-6.8260624691165006</v>
      </c>
      <c r="AD21" s="17">
        <f t="shared" si="4"/>
        <v>0</v>
      </c>
      <c r="AF21" s="42"/>
      <c r="AG21" s="13"/>
      <c r="AI21" s="21">
        <f t="shared" si="14"/>
        <v>-21.140390612661264</v>
      </c>
      <c r="AJ21" s="21">
        <f t="shared" si="15"/>
        <v>-6.8260624691165006</v>
      </c>
      <c r="AK21" s="17">
        <f t="shared" si="5"/>
        <v>0</v>
      </c>
      <c r="AL21" s="19">
        <f t="shared" si="6"/>
        <v>0</v>
      </c>
      <c r="AM21" s="22">
        <f t="shared" si="7"/>
        <v>0</v>
      </c>
      <c r="AN21" s="22">
        <f t="shared" si="8"/>
        <v>0</v>
      </c>
      <c r="AO21" s="22">
        <f t="shared" si="9"/>
        <v>0</v>
      </c>
    </row>
    <row r="22" spans="1:75" s="20" customFormat="1">
      <c r="A22" s="16" t="s">
        <v>88</v>
      </c>
      <c r="B22" s="32">
        <v>128</v>
      </c>
      <c r="C22" s="32">
        <v>18</v>
      </c>
      <c r="D22" s="32">
        <v>24</v>
      </c>
      <c r="E22" s="32">
        <v>63</v>
      </c>
      <c r="F22" s="32">
        <v>38</v>
      </c>
      <c r="G22" s="32">
        <v>42</v>
      </c>
      <c r="H22" s="32">
        <v>23</v>
      </c>
      <c r="I22" s="32">
        <v>45</v>
      </c>
      <c r="J22" s="32">
        <v>30</v>
      </c>
      <c r="K22" s="17">
        <f t="shared" si="0"/>
        <v>0</v>
      </c>
      <c r="L22" s="18">
        <f t="shared" si="10"/>
        <v>3.8814288042387603E-2</v>
      </c>
      <c r="M22" s="19">
        <f t="shared" si="1"/>
        <v>67.897766985739565</v>
      </c>
      <c r="O22" s="18">
        <f t="shared" si="2"/>
        <v>11.500807072981047</v>
      </c>
      <c r="P22" s="18">
        <v>11.5</v>
      </c>
      <c r="R22" s="18">
        <v>0.115</v>
      </c>
      <c r="S22" s="18">
        <f t="shared" si="11"/>
        <v>8.0707298104698566E-4</v>
      </c>
      <c r="T22" s="17">
        <f t="shared" si="3"/>
        <v>0</v>
      </c>
      <c r="AA22" s="16" t="s">
        <v>88</v>
      </c>
      <c r="AB22" s="21">
        <f t="shared" si="12"/>
        <v>-10.223301426043463</v>
      </c>
      <c r="AC22" s="21">
        <f t="shared" si="13"/>
        <v>8.0707298104698566E-2</v>
      </c>
      <c r="AD22" s="17">
        <f t="shared" si="4"/>
        <v>0</v>
      </c>
      <c r="AF22" s="42"/>
      <c r="AG22" s="13"/>
      <c r="AI22" s="21">
        <f t="shared" si="14"/>
        <v>-10.223301426043463</v>
      </c>
      <c r="AJ22" s="21">
        <f t="shared" si="15"/>
        <v>8.0707298104698566E-2</v>
      </c>
      <c r="AK22" s="17">
        <f t="shared" si="5"/>
        <v>0</v>
      </c>
      <c r="AL22" s="19">
        <f t="shared" si="6"/>
        <v>0</v>
      </c>
      <c r="AM22" s="22">
        <f t="shared" si="7"/>
        <v>0</v>
      </c>
      <c r="AN22" s="22">
        <f t="shared" si="8"/>
        <v>0</v>
      </c>
      <c r="AO22" s="22">
        <f t="shared" si="9"/>
        <v>0</v>
      </c>
    </row>
    <row r="23" spans="1:75">
      <c r="A23" s="1" t="s">
        <v>89</v>
      </c>
      <c r="B23" s="31">
        <v>132</v>
      </c>
      <c r="C23" s="31">
        <v>2</v>
      </c>
      <c r="D23" s="31">
        <v>0</v>
      </c>
      <c r="E23" s="31">
        <v>60</v>
      </c>
      <c r="F23" s="31">
        <v>39</v>
      </c>
      <c r="G23" s="31">
        <v>0</v>
      </c>
      <c r="H23" s="31">
        <v>21</v>
      </c>
      <c r="I23" s="31">
        <v>9</v>
      </c>
      <c r="J23" s="31">
        <v>12</v>
      </c>
      <c r="K23" s="9">
        <f t="shared" si="0"/>
        <v>0</v>
      </c>
      <c r="L23" s="10">
        <f t="shared" si="10"/>
        <v>1.923702746691619E-2</v>
      </c>
      <c r="M23" s="11">
        <f t="shared" si="1"/>
        <v>67.893925187599024</v>
      </c>
      <c r="O23" s="10">
        <f t="shared" si="2"/>
        <v>1.1880596041289142</v>
      </c>
      <c r="P23" s="10">
        <f>$P$15</f>
        <v>1.1499999999999999</v>
      </c>
      <c r="R23" s="10">
        <f>0.1*$P$15</f>
        <v>0.11499999999999999</v>
      </c>
      <c r="S23" s="10">
        <f t="shared" si="11"/>
        <v>3.8059604128914293E-2</v>
      </c>
      <c r="T23" s="9">
        <f t="shared" si="3"/>
        <v>0</v>
      </c>
      <c r="AA23" s="1" t="s">
        <v>89</v>
      </c>
      <c r="AB23" s="12">
        <f t="shared" si="12"/>
        <v>-10.607481240097627</v>
      </c>
      <c r="AC23" s="12">
        <f t="shared" si="13"/>
        <v>3.8059604128914293</v>
      </c>
      <c r="AD23" s="9">
        <f t="shared" si="4"/>
        <v>0</v>
      </c>
      <c r="AF23" s="43"/>
      <c r="AG23" s="13"/>
      <c r="AI23" s="12">
        <f t="shared" si="14"/>
        <v>-10.607481240097627</v>
      </c>
      <c r="AJ23" s="12">
        <f t="shared" si="15"/>
        <v>3.8059604128914293</v>
      </c>
      <c r="AK23" s="9">
        <f t="shared" si="5"/>
        <v>0</v>
      </c>
      <c r="AL23" s="11">
        <f t="shared" si="6"/>
        <v>0</v>
      </c>
      <c r="AM23" s="6">
        <f t="shared" si="7"/>
        <v>0</v>
      </c>
      <c r="AN23" s="6">
        <f t="shared" si="8"/>
        <v>0</v>
      </c>
      <c r="AO23" s="6">
        <f t="shared" si="9"/>
        <v>0</v>
      </c>
      <c r="BA23" s="6">
        <f>IF($BC23+$BC25+$BD24+$BB24&gt;0,99999,0)</f>
        <v>0</v>
      </c>
      <c r="BB23" s="6">
        <f>$BA$23</f>
        <v>0</v>
      </c>
      <c r="BC23" s="6">
        <f>IF(AF21&lt;0,ABS(AF21),0)</f>
        <v>0</v>
      </c>
      <c r="BD23" s="6">
        <f>$BA$23</f>
        <v>0</v>
      </c>
      <c r="BE23" s="6">
        <f>$BA$23</f>
        <v>0</v>
      </c>
      <c r="BG23" s="6">
        <f>IF($BI23+$BI25+$BJ24+$BH24&gt;0,99999,0)</f>
        <v>0</v>
      </c>
      <c r="BH23" s="6">
        <f>$BG$23</f>
        <v>0</v>
      </c>
      <c r="BI23" s="6">
        <f>IF(AF20&lt;0,ABS(AF20),0)</f>
        <v>0</v>
      </c>
      <c r="BJ23" s="6">
        <f>$BG$23</f>
        <v>0</v>
      </c>
      <c r="BK23" s="6">
        <f>$BG$23</f>
        <v>0</v>
      </c>
      <c r="BM23" s="6">
        <f>IF($BO23+$BO25+$BN24+$BP24&gt;0,99999,0)</f>
        <v>0</v>
      </c>
      <c r="BN23" s="6">
        <f>$BM$23</f>
        <v>0</v>
      </c>
      <c r="BO23" s="6">
        <f>IF(AF19&lt;0,ABS(AF19),0)</f>
        <v>0</v>
      </c>
      <c r="BP23" s="6">
        <f>$BM$23</f>
        <v>0</v>
      </c>
      <c r="BQ23" s="6">
        <f>$BM$23</f>
        <v>0</v>
      </c>
    </row>
    <row r="24" spans="1:75">
      <c r="A24" s="1" t="s">
        <v>90</v>
      </c>
      <c r="B24" s="31">
        <v>132</v>
      </c>
      <c r="C24" s="31">
        <v>57</v>
      </c>
      <c r="D24" s="31">
        <v>18</v>
      </c>
      <c r="E24" s="31">
        <v>59</v>
      </c>
      <c r="F24" s="31">
        <v>54</v>
      </c>
      <c r="G24" s="31">
        <v>18</v>
      </c>
      <c r="H24" s="31">
        <v>20</v>
      </c>
      <c r="I24" s="31">
        <v>33</v>
      </c>
      <c r="J24" s="31">
        <v>30</v>
      </c>
      <c r="K24" s="9">
        <f t="shared" si="0"/>
        <v>0</v>
      </c>
      <c r="L24" s="10">
        <f t="shared" si="10"/>
        <v>1.9014738433119561E-2</v>
      </c>
      <c r="M24" s="11">
        <f t="shared" si="1"/>
        <v>67.915533439533405</v>
      </c>
      <c r="O24" s="10">
        <f t="shared" si="2"/>
        <v>1.1195793393203575</v>
      </c>
      <c r="P24" s="10">
        <f>$P$15</f>
        <v>1.1499999999999999</v>
      </c>
      <c r="R24" s="10">
        <f>0.1*$P$15</f>
        <v>0.11499999999999999</v>
      </c>
      <c r="S24" s="10">
        <f t="shared" si="11"/>
        <v>-3.0420660679642442E-2</v>
      </c>
      <c r="T24" s="9">
        <f t="shared" si="3"/>
        <v>0</v>
      </c>
      <c r="AA24" s="1" t="s">
        <v>90</v>
      </c>
      <c r="AB24" s="12">
        <f t="shared" si="12"/>
        <v>-8.4466560466594842</v>
      </c>
      <c r="AC24" s="12">
        <f t="shared" si="13"/>
        <v>-3.0420660679642442</v>
      </c>
      <c r="AD24" s="9">
        <f t="shared" si="4"/>
        <v>0</v>
      </c>
      <c r="AF24" s="43"/>
      <c r="AG24" s="13"/>
      <c r="AI24" s="12">
        <f t="shared" si="14"/>
        <v>-8.4466560466594842</v>
      </c>
      <c r="AJ24" s="12">
        <f t="shared" si="15"/>
        <v>-3.0420660679642442</v>
      </c>
      <c r="AK24" s="9">
        <f t="shared" si="5"/>
        <v>0</v>
      </c>
      <c r="AL24" s="11">
        <f t="shared" si="6"/>
        <v>0</v>
      </c>
      <c r="AM24" s="6">
        <f t="shared" si="7"/>
        <v>0</v>
      </c>
      <c r="AN24" s="6">
        <f t="shared" si="8"/>
        <v>0</v>
      </c>
      <c r="AO24" s="6">
        <f t="shared" si="9"/>
        <v>0</v>
      </c>
      <c r="BA24" s="6">
        <f>$BA$23</f>
        <v>0</v>
      </c>
      <c r="BB24" s="6">
        <f>IF(AG21&gt;0,ABS(AG21),0)</f>
        <v>0</v>
      </c>
      <c r="BC24" s="8" t="s">
        <v>87</v>
      </c>
      <c r="BD24" s="6">
        <f>IF(AG21&lt;0,ABS(AG21),0)</f>
        <v>0</v>
      </c>
      <c r="BE24" s="6">
        <f>$BA$23</f>
        <v>0</v>
      </c>
      <c r="BG24" s="6">
        <f>$BG$23</f>
        <v>0</v>
      </c>
      <c r="BH24" s="6">
        <f>IF(AG20&gt;0,ABS(AG20),0)</f>
        <v>0</v>
      </c>
      <c r="BI24" s="8" t="s">
        <v>86</v>
      </c>
      <c r="BJ24" s="6">
        <f>IF(AG20&lt;0,ABS(AG20),0)</f>
        <v>0</v>
      </c>
      <c r="BK24" s="6">
        <f>$BG$23</f>
        <v>0</v>
      </c>
      <c r="BM24" s="6">
        <f>$BM$23</f>
        <v>0</v>
      </c>
      <c r="BN24" s="6">
        <f>IF(AG19&lt;0,ABS(AG19),0)</f>
        <v>0</v>
      </c>
      <c r="BO24" s="8" t="s">
        <v>85</v>
      </c>
      <c r="BP24" s="6">
        <f>IF(AG19&gt;0,ABS(AG19),0)</f>
        <v>0</v>
      </c>
      <c r="BQ24" s="6">
        <f>$BM$23</f>
        <v>0</v>
      </c>
    </row>
    <row r="25" spans="1:75" s="28" customFormat="1">
      <c r="A25" s="24" t="s">
        <v>91</v>
      </c>
      <c r="B25" s="33">
        <v>145</v>
      </c>
      <c r="C25" s="33">
        <v>18</v>
      </c>
      <c r="D25" s="38">
        <v>54</v>
      </c>
      <c r="E25" s="33">
        <v>89</v>
      </c>
      <c r="F25" s="33">
        <v>29</v>
      </c>
      <c r="G25" s="33">
        <v>0</v>
      </c>
      <c r="H25" s="33">
        <v>26</v>
      </c>
      <c r="I25" s="33">
        <v>21</v>
      </c>
      <c r="J25" s="33">
        <v>48</v>
      </c>
      <c r="K25" s="25">
        <f t="shared" si="0"/>
        <v>0</v>
      </c>
      <c r="L25" s="26">
        <f t="shared" si="10"/>
        <v>2.4501773791153311E-2</v>
      </c>
      <c r="M25" s="27">
        <f t="shared" si="1"/>
        <v>109.06603884277717</v>
      </c>
      <c r="O25" s="26">
        <f t="shared" si="2"/>
        <v>1.1041541756991353</v>
      </c>
      <c r="P25" s="26">
        <f>$P$15</f>
        <v>1.1499999999999999</v>
      </c>
      <c r="R25" s="26">
        <f>0.1*$P$15</f>
        <v>0.11499999999999999</v>
      </c>
      <c r="S25" s="26">
        <f t="shared" si="11"/>
        <v>-4.584582430086459E-2</v>
      </c>
      <c r="T25" s="25">
        <f t="shared" si="3"/>
        <v>0</v>
      </c>
      <c r="AA25" s="24" t="s">
        <v>91</v>
      </c>
      <c r="AB25" s="29">
        <f t="shared" si="12"/>
        <v>6.6038842777174978</v>
      </c>
      <c r="AC25" s="29">
        <f t="shared" si="13"/>
        <v>-4.584582430086459</v>
      </c>
      <c r="AD25" s="25">
        <f t="shared" si="4"/>
        <v>0</v>
      </c>
      <c r="AF25" s="44"/>
      <c r="AG25" s="13"/>
      <c r="AI25" s="29">
        <f t="shared" si="14"/>
        <v>6.6038842777174978</v>
      </c>
      <c r="AJ25" s="29">
        <f t="shared" si="15"/>
        <v>-4.584582430086459</v>
      </c>
      <c r="AK25" s="25">
        <f t="shared" si="5"/>
        <v>0</v>
      </c>
      <c r="AL25" s="27">
        <f t="shared" si="6"/>
        <v>0</v>
      </c>
      <c r="AM25" s="30">
        <f t="shared" si="7"/>
        <v>0</v>
      </c>
      <c r="AN25" s="30">
        <f t="shared" si="8"/>
        <v>0</v>
      </c>
      <c r="AO25" s="30">
        <f t="shared" si="9"/>
        <v>0</v>
      </c>
      <c r="BA25" s="30">
        <f>$BA$23</f>
        <v>0</v>
      </c>
      <c r="BB25" s="30">
        <f>$BA$23</f>
        <v>0</v>
      </c>
      <c r="BC25" s="30">
        <f>IF(AF21&gt;0,ABS(AF21),0)</f>
        <v>0</v>
      </c>
      <c r="BD25" s="30">
        <f>$BA$23</f>
        <v>0</v>
      </c>
      <c r="BE25" s="30">
        <f>$BA$23</f>
        <v>0</v>
      </c>
      <c r="BG25" s="30">
        <f>$BG$23</f>
        <v>0</v>
      </c>
      <c r="BH25" s="30">
        <f>$BG$23</f>
        <v>0</v>
      </c>
      <c r="BI25" s="30">
        <f>IF(AF20&gt;0,ABS(AF20),0)</f>
        <v>0</v>
      </c>
      <c r="BJ25" s="30">
        <f>$BG$23</f>
        <v>0</v>
      </c>
      <c r="BK25" s="30">
        <f>$BG$23</f>
        <v>0</v>
      </c>
      <c r="BM25" s="30">
        <f>$BM$23</f>
        <v>0</v>
      </c>
      <c r="BN25" s="30">
        <f>$BM$23</f>
        <v>0</v>
      </c>
      <c r="BO25" s="30">
        <f>IF(AF19&gt;0,ABS(AF19),0)</f>
        <v>0</v>
      </c>
      <c r="BP25" s="30">
        <f>$BM$23</f>
        <v>0</v>
      </c>
      <c r="BQ25" s="30">
        <f>$BM$23</f>
        <v>0</v>
      </c>
    </row>
    <row r="26" spans="1:75">
      <c r="A26" s="1" t="s">
        <v>92</v>
      </c>
      <c r="B26" s="31">
        <v>146</v>
      </c>
      <c r="C26" s="31">
        <v>8</v>
      </c>
      <c r="D26" s="31">
        <v>42</v>
      </c>
      <c r="E26" s="31">
        <v>89</v>
      </c>
      <c r="F26" s="31">
        <v>30</v>
      </c>
      <c r="G26" s="31">
        <v>6</v>
      </c>
      <c r="H26" s="31">
        <v>25</v>
      </c>
      <c r="I26" s="31">
        <v>40</v>
      </c>
      <c r="J26" s="31">
        <v>30</v>
      </c>
      <c r="K26" s="9">
        <f t="shared" si="0"/>
        <v>0</v>
      </c>
      <c r="L26" s="10">
        <f t="shared" si="10"/>
        <v>2.5740085976127189E-2</v>
      </c>
      <c r="M26" s="11">
        <f t="shared" si="1"/>
        <v>109.07722080141072</v>
      </c>
      <c r="O26" s="10">
        <f t="shared" si="2"/>
        <v>1.1645336259949961</v>
      </c>
      <c r="P26" s="10">
        <f>$P$15</f>
        <v>1.1499999999999999</v>
      </c>
      <c r="R26" s="10">
        <f>0.1*$P$15</f>
        <v>0.11499999999999999</v>
      </c>
      <c r="S26" s="10">
        <f t="shared" si="11"/>
        <v>1.4533625994996191E-2</v>
      </c>
      <c r="T26" s="9">
        <f t="shared" si="3"/>
        <v>0</v>
      </c>
      <c r="AA26" s="1" t="s">
        <v>92</v>
      </c>
      <c r="AB26" s="12">
        <f t="shared" si="12"/>
        <v>7.7220801410717854</v>
      </c>
      <c r="AC26" s="12">
        <f t="shared" si="13"/>
        <v>1.4533625994996191</v>
      </c>
      <c r="AD26" s="9">
        <f t="shared" si="4"/>
        <v>0</v>
      </c>
      <c r="AF26" s="43"/>
      <c r="AG26" s="13"/>
      <c r="AI26" s="12">
        <f t="shared" si="14"/>
        <v>7.7220801410717854</v>
      </c>
      <c r="AJ26" s="12">
        <f t="shared" si="15"/>
        <v>1.4533625994996191</v>
      </c>
      <c r="AK26" s="9">
        <f t="shared" si="5"/>
        <v>0</v>
      </c>
      <c r="AL26" s="11">
        <f t="shared" si="6"/>
        <v>0</v>
      </c>
      <c r="AM26" s="6">
        <f t="shared" si="7"/>
        <v>0</v>
      </c>
      <c r="AN26" s="6">
        <f t="shared" si="8"/>
        <v>0</v>
      </c>
      <c r="AO26" s="6">
        <f t="shared" si="9"/>
        <v>0</v>
      </c>
    </row>
    <row r="27" spans="1:75" s="20" customFormat="1">
      <c r="A27" s="16" t="s">
        <v>93</v>
      </c>
      <c r="B27" s="32">
        <v>150</v>
      </c>
      <c r="C27" s="32">
        <v>7</v>
      </c>
      <c r="D27" s="32">
        <v>0</v>
      </c>
      <c r="E27" s="32">
        <v>89</v>
      </c>
      <c r="F27" s="32">
        <v>31</v>
      </c>
      <c r="G27" s="32">
        <v>0</v>
      </c>
      <c r="H27" s="32">
        <v>22</v>
      </c>
      <c r="I27" s="32">
        <v>25</v>
      </c>
      <c r="J27" s="32">
        <v>6</v>
      </c>
      <c r="K27" s="17">
        <f t="shared" si="0"/>
        <v>0</v>
      </c>
      <c r="L27" s="18">
        <f t="shared" si="10"/>
        <v>1.7611041563225845E-2</v>
      </c>
      <c r="M27" s="19">
        <f t="shared" si="1"/>
        <v>109.04145981336229</v>
      </c>
      <c r="O27" s="18">
        <f t="shared" si="2"/>
        <v>11.515885140350944</v>
      </c>
      <c r="P27" s="18">
        <v>11.5</v>
      </c>
      <c r="R27" s="18">
        <v>0.115</v>
      </c>
      <c r="S27" s="18">
        <f t="shared" si="11"/>
        <v>1.5885140350944127E-2</v>
      </c>
      <c r="T27" s="17">
        <f t="shared" si="3"/>
        <v>0</v>
      </c>
      <c r="AA27" s="16" t="s">
        <v>93</v>
      </c>
      <c r="AB27" s="21">
        <f t="shared" si="12"/>
        <v>4.145981336229454</v>
      </c>
      <c r="AC27" s="21">
        <f t="shared" si="13"/>
        <v>1.5885140350944127</v>
      </c>
      <c r="AD27" s="17">
        <f t="shared" si="4"/>
        <v>0</v>
      </c>
      <c r="AF27" s="42"/>
      <c r="AG27" s="13"/>
      <c r="AI27" s="21">
        <f t="shared" si="14"/>
        <v>4.145981336229454</v>
      </c>
      <c r="AJ27" s="21">
        <f t="shared" si="15"/>
        <v>1.5885140350944127</v>
      </c>
      <c r="AK27" s="17">
        <f t="shared" si="5"/>
        <v>0</v>
      </c>
      <c r="AL27" s="19">
        <f t="shared" si="6"/>
        <v>0</v>
      </c>
      <c r="AM27" s="22">
        <f t="shared" si="7"/>
        <v>0</v>
      </c>
      <c r="AN27" s="22">
        <f t="shared" si="8"/>
        <v>0</v>
      </c>
      <c r="AO27" s="22">
        <f t="shared" si="9"/>
        <v>0</v>
      </c>
    </row>
    <row r="28" spans="1:75" s="20" customFormat="1">
      <c r="A28" s="16" t="s">
        <v>94</v>
      </c>
      <c r="B28" s="32">
        <v>150</v>
      </c>
      <c r="C28" s="32">
        <v>4</v>
      </c>
      <c r="D28" s="32">
        <v>0</v>
      </c>
      <c r="E28" s="32">
        <v>115</v>
      </c>
      <c r="F28" s="32">
        <v>5</v>
      </c>
      <c r="G28" s="32">
        <v>0</v>
      </c>
      <c r="H28" s="32">
        <v>37</v>
      </c>
      <c r="I28" s="32">
        <v>54</v>
      </c>
      <c r="J28" s="32">
        <v>36</v>
      </c>
      <c r="K28" s="17">
        <f t="shared" si="0"/>
        <v>0</v>
      </c>
      <c r="L28" s="18">
        <f t="shared" si="10"/>
        <v>1.1440007308940339E-2</v>
      </c>
      <c r="M28" s="19">
        <f t="shared" si="1"/>
        <v>150.08847000639639</v>
      </c>
      <c r="O28" s="18">
        <f t="shared" si="2"/>
        <v>11.484453979661341</v>
      </c>
      <c r="P28" s="18">
        <v>11.5</v>
      </c>
      <c r="R28" s="18">
        <v>0.115</v>
      </c>
      <c r="S28" s="18">
        <f t="shared" si="11"/>
        <v>-1.5546020338659261E-2</v>
      </c>
      <c r="T28" s="17">
        <f t="shared" si="3"/>
        <v>0</v>
      </c>
      <c r="AA28" s="16" t="s">
        <v>94</v>
      </c>
      <c r="AB28" s="21">
        <f t="shared" si="12"/>
        <v>8.8470006396391909</v>
      </c>
      <c r="AC28" s="21">
        <f t="shared" si="13"/>
        <v>-1.5546020338659261</v>
      </c>
      <c r="AD28" s="17">
        <f t="shared" si="4"/>
        <v>0</v>
      </c>
      <c r="AF28" s="42"/>
      <c r="AG28" s="13"/>
      <c r="AI28" s="21">
        <f t="shared" si="14"/>
        <v>8.8470006396391909</v>
      </c>
      <c r="AJ28" s="21">
        <f t="shared" si="15"/>
        <v>-1.5546020338659261</v>
      </c>
      <c r="AK28" s="17">
        <f t="shared" si="5"/>
        <v>0</v>
      </c>
      <c r="AL28" s="19">
        <f t="shared" si="6"/>
        <v>0</v>
      </c>
      <c r="AM28" s="22">
        <f t="shared" si="7"/>
        <v>0</v>
      </c>
      <c r="AN28" s="22">
        <f t="shared" si="8"/>
        <v>0</v>
      </c>
      <c r="AO28" s="22">
        <f t="shared" si="9"/>
        <v>0</v>
      </c>
      <c r="BA28" s="22">
        <f>IF($BC28+$BC30+$BD29+$BB29&gt;0,99999,0)</f>
        <v>0</v>
      </c>
      <c r="BB28" s="22">
        <f>$BA$28</f>
        <v>0</v>
      </c>
      <c r="BC28" s="22">
        <f>IF(AF44&lt;0,ABS(AF44),0)</f>
        <v>0</v>
      </c>
      <c r="BD28" s="22">
        <f>$BA$28</f>
        <v>0</v>
      </c>
      <c r="BE28" s="22">
        <f>$BA$28</f>
        <v>0</v>
      </c>
      <c r="BG28" s="22">
        <f>IF($BI28+$BI30+$BJ29+$BH29&gt;0,99999,0)</f>
        <v>0</v>
      </c>
      <c r="BH28" s="22">
        <f>$BG$28</f>
        <v>0</v>
      </c>
      <c r="BI28" s="22">
        <f>IF(AF24&lt;0,ABS(AF24),0)</f>
        <v>0</v>
      </c>
      <c r="BJ28" s="22">
        <f>$BG$28</f>
        <v>0</v>
      </c>
      <c r="BK28" s="22">
        <f>$BG$28</f>
        <v>0</v>
      </c>
      <c r="BM28" s="22">
        <f>IF($BO28+$BO30+$BN29+$BP29&gt;0,99999,0)</f>
        <v>0</v>
      </c>
      <c r="BN28" s="22">
        <f>$BM$28</f>
        <v>0</v>
      </c>
      <c r="BO28" s="22">
        <f>IF(AF23&lt;0,ABS(AF23),0)</f>
        <v>0</v>
      </c>
      <c r="BP28" s="22">
        <f>$BM$28</f>
        <v>0</v>
      </c>
      <c r="BQ28" s="22">
        <f>$BM$28</f>
        <v>0</v>
      </c>
      <c r="BS28" s="22">
        <f>IF($BU28+$BU30+$BT29+$BV29&gt;0,99999,0)</f>
        <v>0</v>
      </c>
      <c r="BT28" s="22">
        <f>$BS$28</f>
        <v>0</v>
      </c>
      <c r="BU28" s="22">
        <f>IF(AF22&lt;0,ABS(AF22),0)</f>
        <v>0</v>
      </c>
      <c r="BV28" s="22">
        <f>$BS$28</f>
        <v>0</v>
      </c>
      <c r="BW28" s="22">
        <f>$BS$28</f>
        <v>0</v>
      </c>
    </row>
    <row r="29" spans="1:75">
      <c r="A29" s="1" t="s">
        <v>95</v>
      </c>
      <c r="B29" s="31">
        <v>153</v>
      </c>
      <c r="C29" s="31">
        <v>10</v>
      </c>
      <c r="D29" s="31">
        <v>54</v>
      </c>
      <c r="E29" s="31">
        <v>118</v>
      </c>
      <c r="F29" s="31">
        <v>9</v>
      </c>
      <c r="G29" s="31">
        <v>30</v>
      </c>
      <c r="H29" s="31">
        <v>34</v>
      </c>
      <c r="I29" s="31">
        <v>28</v>
      </c>
      <c r="J29" s="31">
        <v>30</v>
      </c>
      <c r="K29" s="9">
        <f t="shared" si="0"/>
        <v>0</v>
      </c>
      <c r="L29" s="10">
        <f t="shared" si="10"/>
        <v>1.244835238104749E-2</v>
      </c>
      <c r="M29" s="11">
        <f t="shared" si="1"/>
        <v>150.18989523445552</v>
      </c>
      <c r="O29" s="10">
        <f t="shared" si="2"/>
        <v>1.1415825595053932</v>
      </c>
      <c r="P29" s="10">
        <f>$P$15</f>
        <v>1.1499999999999999</v>
      </c>
      <c r="R29" s="10">
        <f>0.1*$P$15</f>
        <v>0.11499999999999999</v>
      </c>
      <c r="S29" s="10">
        <f t="shared" si="11"/>
        <v>-8.4174404946066872E-3</v>
      </c>
      <c r="T29" s="9">
        <f t="shared" si="3"/>
        <v>0</v>
      </c>
      <c r="AA29" s="1" t="s">
        <v>95</v>
      </c>
      <c r="AB29" s="12">
        <f t="shared" si="12"/>
        <v>18.989523445551981</v>
      </c>
      <c r="AC29" s="12">
        <f t="shared" si="13"/>
        <v>-0.84174404946066872</v>
      </c>
      <c r="AD29" s="9">
        <f t="shared" si="4"/>
        <v>0</v>
      </c>
      <c r="AF29" s="43"/>
      <c r="AG29" s="13"/>
      <c r="AI29" s="12">
        <f t="shared" si="14"/>
        <v>18.989523445551981</v>
      </c>
      <c r="AJ29" s="12">
        <f t="shared" si="15"/>
        <v>-0.84174404946066872</v>
      </c>
      <c r="AK29" s="9">
        <f t="shared" si="5"/>
        <v>0</v>
      </c>
      <c r="AL29" s="11">
        <f t="shared" si="6"/>
        <v>0</v>
      </c>
      <c r="AM29" s="6">
        <f t="shared" si="7"/>
        <v>0</v>
      </c>
      <c r="AN29" s="6">
        <f t="shared" si="8"/>
        <v>0</v>
      </c>
      <c r="AO29" s="6">
        <f t="shared" si="9"/>
        <v>0</v>
      </c>
      <c r="BA29" s="6">
        <f>$BA$28</f>
        <v>0</v>
      </c>
      <c r="BB29" s="6">
        <f>IF(AG44&gt;0,ABS(AG44),0)</f>
        <v>0</v>
      </c>
      <c r="BC29" s="8" t="s">
        <v>96</v>
      </c>
      <c r="BD29" s="6">
        <f>IF(AG44&lt;0,ABS(AG44),0)</f>
        <v>0</v>
      </c>
      <c r="BE29" s="6">
        <f>$BA$28</f>
        <v>0</v>
      </c>
      <c r="BG29" s="6">
        <f>$BG$28</f>
        <v>0</v>
      </c>
      <c r="BH29" s="6">
        <f>IF(AG24&gt;0,ABS(AG24),0)</f>
        <v>0</v>
      </c>
      <c r="BI29" s="8" t="s">
        <v>90</v>
      </c>
      <c r="BJ29" s="6">
        <f>IF(AG24&lt;0,ABS(AG24),0)</f>
        <v>0</v>
      </c>
      <c r="BK29" s="6">
        <f>$BG$28</f>
        <v>0</v>
      </c>
      <c r="BM29" s="6">
        <f>$BM$28</f>
        <v>0</v>
      </c>
      <c r="BN29" s="6">
        <f>IF(AG23&lt;0,ABS(AG23),0)</f>
        <v>0</v>
      </c>
      <c r="BO29" s="8" t="s">
        <v>89</v>
      </c>
      <c r="BP29" s="6">
        <f>IF(AG23&gt;0,ABS(AG23),0)</f>
        <v>0</v>
      </c>
      <c r="BQ29" s="6">
        <f>$BM$28</f>
        <v>0</v>
      </c>
      <c r="BS29" s="6">
        <f>$BS$28</f>
        <v>0</v>
      </c>
      <c r="BT29" s="6">
        <f>IF(AG22&lt;0,ABS(AG22),0)</f>
        <v>0</v>
      </c>
      <c r="BU29" s="8" t="s">
        <v>88</v>
      </c>
      <c r="BV29" s="6">
        <f>IF(AG22&gt;0,ABS(AG22),0)</f>
        <v>0</v>
      </c>
      <c r="BW29" s="6">
        <f>$BS$28</f>
        <v>0</v>
      </c>
    </row>
    <row r="30" spans="1:75" s="28" customFormat="1">
      <c r="A30" s="24" t="s">
        <v>97</v>
      </c>
      <c r="B30" s="33">
        <v>153</v>
      </c>
      <c r="C30" s="33">
        <v>53</v>
      </c>
      <c r="D30" s="33">
        <v>12</v>
      </c>
      <c r="E30" s="33">
        <v>118</v>
      </c>
      <c r="F30" s="33">
        <v>55</v>
      </c>
      <c r="G30" s="33">
        <v>42</v>
      </c>
      <c r="H30" s="33">
        <v>33</v>
      </c>
      <c r="I30" s="33">
        <v>40</v>
      </c>
      <c r="J30" s="33">
        <v>24</v>
      </c>
      <c r="K30" s="25">
        <f t="shared" si="0"/>
        <v>0</v>
      </c>
      <c r="L30" s="26">
        <f t="shared" si="10"/>
        <v>2.4919328719044923E-3</v>
      </c>
      <c r="M30" s="27">
        <f t="shared" si="1"/>
        <v>150.21141750396717</v>
      </c>
      <c r="O30" s="26">
        <f t="shared" si="2"/>
        <v>1.1319744567148724</v>
      </c>
      <c r="P30" s="26">
        <f>$P$15</f>
        <v>1.1499999999999999</v>
      </c>
      <c r="R30" s="26">
        <f>0.1*$P$15</f>
        <v>0.11499999999999999</v>
      </c>
      <c r="S30" s="26">
        <f t="shared" si="11"/>
        <v>-1.802554328512751E-2</v>
      </c>
      <c r="T30" s="25">
        <f t="shared" si="3"/>
        <v>0</v>
      </c>
      <c r="AA30" s="24" t="s">
        <v>97</v>
      </c>
      <c r="AB30" s="29">
        <f t="shared" si="12"/>
        <v>21.14175039671693</v>
      </c>
      <c r="AC30" s="29">
        <f t="shared" si="13"/>
        <v>-1.802554328512751</v>
      </c>
      <c r="AD30" s="25">
        <f t="shared" si="4"/>
        <v>0</v>
      </c>
      <c r="AF30" s="44"/>
      <c r="AG30" s="13"/>
      <c r="AI30" s="29">
        <f t="shared" si="14"/>
        <v>21.14175039671693</v>
      </c>
      <c r="AJ30" s="29">
        <f t="shared" si="15"/>
        <v>-1.802554328512751</v>
      </c>
      <c r="AK30" s="25">
        <f t="shared" si="5"/>
        <v>0</v>
      </c>
      <c r="AL30" s="27">
        <f t="shared" si="6"/>
        <v>0</v>
      </c>
      <c r="AM30" s="30">
        <f t="shared" si="7"/>
        <v>0</v>
      </c>
      <c r="AN30" s="30">
        <f t="shared" si="8"/>
        <v>0</v>
      </c>
      <c r="AO30" s="30">
        <f t="shared" si="9"/>
        <v>0</v>
      </c>
      <c r="BA30" s="30">
        <f>$BA$28</f>
        <v>0</v>
      </c>
      <c r="BB30" s="30">
        <f>$BA$28</f>
        <v>0</v>
      </c>
      <c r="BC30" s="30">
        <f>IF(AF44&gt;0,ABS(AF44),0)</f>
        <v>0</v>
      </c>
      <c r="BD30" s="30">
        <f>$BA$28</f>
        <v>0</v>
      </c>
      <c r="BE30" s="30">
        <f>$BA$28</f>
        <v>0</v>
      </c>
      <c r="BG30" s="30">
        <f>$BG$28</f>
        <v>0</v>
      </c>
      <c r="BH30" s="30">
        <f>$BG$28</f>
        <v>0</v>
      </c>
      <c r="BI30" s="30">
        <f>IF(AF24&gt;0,ABS(AF24),0)</f>
        <v>0</v>
      </c>
      <c r="BJ30" s="30">
        <f>$BG$28</f>
        <v>0</v>
      </c>
      <c r="BK30" s="30">
        <f>$BG$28</f>
        <v>0</v>
      </c>
      <c r="BM30" s="30">
        <f>$BM$28</f>
        <v>0</v>
      </c>
      <c r="BN30" s="30">
        <f>$BM$28</f>
        <v>0</v>
      </c>
      <c r="BO30" s="30">
        <f>IF(AF23&gt;0,ABS(AF23),0)</f>
        <v>0</v>
      </c>
      <c r="BP30" s="30">
        <f>$BM$28</f>
        <v>0</v>
      </c>
      <c r="BQ30" s="30">
        <f>$BM$28</f>
        <v>0</v>
      </c>
      <c r="BS30" s="30">
        <f>$BS$28</f>
        <v>0</v>
      </c>
      <c r="BT30" s="30">
        <f>$BS$28</f>
        <v>0</v>
      </c>
      <c r="BU30" s="30">
        <f>IF(AF22&gt;0,ABS(AF22),0)</f>
        <v>0</v>
      </c>
      <c r="BV30" s="30">
        <f>$BS$28</f>
        <v>0</v>
      </c>
      <c r="BW30" s="30">
        <f>$BS$28</f>
        <v>0</v>
      </c>
    </row>
    <row r="31" spans="1:75">
      <c r="A31" s="1" t="s">
        <v>98</v>
      </c>
      <c r="B31" s="31">
        <v>158</v>
      </c>
      <c r="C31" s="31">
        <v>11</v>
      </c>
      <c r="D31" s="31">
        <v>42</v>
      </c>
      <c r="E31" s="39">
        <v>136</v>
      </c>
      <c r="F31" s="31">
        <v>53</v>
      </c>
      <c r="G31" s="31">
        <v>12</v>
      </c>
      <c r="H31" s="31">
        <v>47</v>
      </c>
      <c r="I31" s="31">
        <v>42</v>
      </c>
      <c r="J31" s="31">
        <v>42</v>
      </c>
      <c r="K31" s="9">
        <f t="shared" si="0"/>
        <v>0</v>
      </c>
      <c r="L31" s="10">
        <f t="shared" si="10"/>
        <v>2.1214361122808733E-2</v>
      </c>
      <c r="M31" s="11">
        <f t="shared" si="1"/>
        <v>191.01086613840741</v>
      </c>
      <c r="O31" s="10">
        <f t="shared" si="2"/>
        <v>1.1244319308861559</v>
      </c>
      <c r="P31" s="10">
        <f>$P$15</f>
        <v>1.1499999999999999</v>
      </c>
      <c r="R31" s="10">
        <f>0.1*$P$15</f>
        <v>0.11499999999999999</v>
      </c>
      <c r="S31" s="10">
        <f t="shared" si="11"/>
        <v>-2.5568069113844016E-2</v>
      </c>
      <c r="T31" s="9">
        <f t="shared" si="3"/>
        <v>0</v>
      </c>
      <c r="AA31" s="1" t="s">
        <v>98</v>
      </c>
      <c r="AB31" s="12">
        <f t="shared" si="12"/>
        <v>1.0866138407408243</v>
      </c>
      <c r="AC31" s="12">
        <f t="shared" si="13"/>
        <v>-2.5568069113844016</v>
      </c>
      <c r="AD31" s="9">
        <f t="shared" si="4"/>
        <v>0</v>
      </c>
      <c r="AF31" s="43"/>
      <c r="AG31" s="13"/>
      <c r="AI31" s="12">
        <f t="shared" si="14"/>
        <v>1.0866138407408243</v>
      </c>
      <c r="AJ31" s="12">
        <f t="shared" si="15"/>
        <v>-2.5568069113844016</v>
      </c>
      <c r="AK31" s="9">
        <f t="shared" si="5"/>
        <v>0</v>
      </c>
      <c r="AL31" s="11">
        <f t="shared" si="6"/>
        <v>0</v>
      </c>
      <c r="AM31" s="6">
        <f t="shared" si="7"/>
        <v>0</v>
      </c>
      <c r="AN31" s="6">
        <f t="shared" si="8"/>
        <v>0</v>
      </c>
      <c r="AO31" s="6">
        <f t="shared" si="9"/>
        <v>0</v>
      </c>
    </row>
    <row r="32" spans="1:75">
      <c r="A32" s="1" t="s">
        <v>99</v>
      </c>
      <c r="B32" s="31">
        <v>158</v>
      </c>
      <c r="C32" s="31">
        <v>47</v>
      </c>
      <c r="D32" s="31">
        <v>42</v>
      </c>
      <c r="E32" s="31">
        <v>137</v>
      </c>
      <c r="F32" s="31">
        <v>45</v>
      </c>
      <c r="G32" s="31">
        <v>36</v>
      </c>
      <c r="H32" s="31">
        <v>46</v>
      </c>
      <c r="I32" s="31">
        <v>51</v>
      </c>
      <c r="J32" s="31">
        <v>42</v>
      </c>
      <c r="K32" s="9">
        <f t="shared" si="0"/>
        <v>0</v>
      </c>
      <c r="L32" s="10">
        <f t="shared" si="10"/>
        <v>6.2381381765657241E-4</v>
      </c>
      <c r="M32" s="11">
        <f t="shared" si="1"/>
        <v>191.00889653396641</v>
      </c>
      <c r="O32" s="10">
        <f t="shared" si="2"/>
        <v>1.1540249930269519</v>
      </c>
      <c r="P32" s="10">
        <f>$P$15</f>
        <v>1.1499999999999999</v>
      </c>
      <c r="R32" s="10">
        <f>0.1*$P$15</f>
        <v>0.11499999999999999</v>
      </c>
      <c r="S32" s="10">
        <f t="shared" si="11"/>
        <v>4.0249930269520284E-3</v>
      </c>
      <c r="T32" s="9">
        <f t="shared" si="3"/>
        <v>0</v>
      </c>
      <c r="AA32" s="1" t="s">
        <v>99</v>
      </c>
      <c r="AB32" s="12">
        <f t="shared" si="12"/>
        <v>0.88965339664071053</v>
      </c>
      <c r="AC32" s="12">
        <f t="shared" si="13"/>
        <v>0.40249930269520284</v>
      </c>
      <c r="AD32" s="9">
        <f t="shared" si="4"/>
        <v>0</v>
      </c>
      <c r="AF32" s="43"/>
      <c r="AG32" s="13"/>
      <c r="AI32" s="12">
        <f t="shared" si="14"/>
        <v>0.88965339664071053</v>
      </c>
      <c r="AJ32" s="12">
        <f t="shared" si="15"/>
        <v>0.40249930269520284</v>
      </c>
      <c r="AK32" s="9">
        <f t="shared" si="5"/>
        <v>0</v>
      </c>
      <c r="AL32" s="11">
        <f t="shared" si="6"/>
        <v>0</v>
      </c>
      <c r="AM32" s="6">
        <f t="shared" si="7"/>
        <v>0</v>
      </c>
      <c r="AN32" s="6">
        <f t="shared" si="8"/>
        <v>0</v>
      </c>
      <c r="AO32" s="6">
        <f t="shared" si="9"/>
        <v>0</v>
      </c>
    </row>
    <row r="33" spans="1:75" s="20" customFormat="1">
      <c r="A33" s="16" t="s">
        <v>100</v>
      </c>
      <c r="B33" s="32">
        <v>161</v>
      </c>
      <c r="C33" s="32">
        <v>34</v>
      </c>
      <c r="D33" s="32">
        <v>6</v>
      </c>
      <c r="E33" s="32">
        <v>142</v>
      </c>
      <c r="F33" s="32">
        <v>5</v>
      </c>
      <c r="G33" s="32">
        <v>18</v>
      </c>
      <c r="H33" s="32">
        <v>42</v>
      </c>
      <c r="I33" s="32">
        <v>36</v>
      </c>
      <c r="J33" s="32">
        <v>6</v>
      </c>
      <c r="K33" s="17">
        <f t="shared" si="0"/>
        <v>0</v>
      </c>
      <c r="L33" s="18">
        <f t="shared" si="10"/>
        <v>1.6458806696318433E-2</v>
      </c>
      <c r="M33" s="19">
        <f t="shared" si="1"/>
        <v>191.03763152139157</v>
      </c>
      <c r="O33" s="18">
        <f t="shared" si="2"/>
        <v>11.512128596370721</v>
      </c>
      <c r="P33" s="18">
        <v>11.5</v>
      </c>
      <c r="R33" s="18">
        <v>0.115</v>
      </c>
      <c r="S33" s="18">
        <f t="shared" si="11"/>
        <v>1.2128596370720501E-2</v>
      </c>
      <c r="T33" s="17">
        <f t="shared" si="3"/>
        <v>0</v>
      </c>
      <c r="AA33" s="16" t="s">
        <v>100</v>
      </c>
      <c r="AB33" s="21">
        <f t="shared" si="12"/>
        <v>3.7631521391574552</v>
      </c>
      <c r="AC33" s="21">
        <f t="shared" si="13"/>
        <v>1.2128596370720501</v>
      </c>
      <c r="AD33" s="17">
        <f t="shared" si="4"/>
        <v>0</v>
      </c>
      <c r="AF33" s="42"/>
      <c r="AG33" s="13"/>
      <c r="AI33" s="21">
        <f t="shared" si="14"/>
        <v>3.7631521391574552</v>
      </c>
      <c r="AJ33" s="21">
        <f t="shared" si="15"/>
        <v>1.2128596370720501</v>
      </c>
      <c r="AK33" s="17">
        <f t="shared" si="5"/>
        <v>0</v>
      </c>
      <c r="AL33" s="19">
        <f t="shared" si="6"/>
        <v>0</v>
      </c>
      <c r="AM33" s="22">
        <f t="shared" si="7"/>
        <v>0</v>
      </c>
      <c r="AN33" s="22">
        <f t="shared" si="8"/>
        <v>0</v>
      </c>
      <c r="AO33" s="22">
        <f t="shared" si="9"/>
        <v>0</v>
      </c>
      <c r="BA33" s="22">
        <f>IF($BC33+$BC35+$BD34+$BB34&gt;0,99999,0)</f>
        <v>0</v>
      </c>
      <c r="BB33" s="22">
        <f>$BA$33</f>
        <v>0</v>
      </c>
      <c r="BC33" s="22">
        <f>IF(AF27&lt;0,ABS(AF27),0)</f>
        <v>0</v>
      </c>
      <c r="BD33" s="22">
        <f>$BA$33</f>
        <v>0</v>
      </c>
      <c r="BE33" s="22">
        <f>$BA$33</f>
        <v>0</v>
      </c>
      <c r="BG33" s="22">
        <f>IF($BI33+$BI35+$BJ34+$BH34&gt;0,99999,0)</f>
        <v>0</v>
      </c>
      <c r="BH33" s="22">
        <f>$BG$33</f>
        <v>0</v>
      </c>
      <c r="BI33" s="22">
        <f>IF(AF26&lt;0,ABS(AF26),0)</f>
        <v>0</v>
      </c>
      <c r="BJ33" s="22">
        <f>$BG$33</f>
        <v>0</v>
      </c>
      <c r="BK33" s="22">
        <f>$BG$33</f>
        <v>0</v>
      </c>
      <c r="BM33" s="22">
        <f>IF($BO33+$BO35+$BN34+$BP34&gt;0,99999,0)</f>
        <v>0</v>
      </c>
      <c r="BN33" s="22">
        <f>$BM$33</f>
        <v>0</v>
      </c>
      <c r="BO33" s="22">
        <f>IF(AF25&lt;0,ABS(AF25),0)</f>
        <v>0</v>
      </c>
      <c r="BP33" s="22">
        <f>$BM$33</f>
        <v>0</v>
      </c>
      <c r="BQ33" s="22">
        <f>$BM$33</f>
        <v>0</v>
      </c>
    </row>
    <row r="34" spans="1:75" s="20" customFormat="1" ht="11.25" customHeight="1">
      <c r="A34" s="16" t="s">
        <v>101</v>
      </c>
      <c r="B34" s="32">
        <v>159</v>
      </c>
      <c r="C34" s="32">
        <v>22</v>
      </c>
      <c r="D34" s="32">
        <v>30</v>
      </c>
      <c r="E34" s="32">
        <v>144</v>
      </c>
      <c r="F34" s="32">
        <v>32</v>
      </c>
      <c r="G34" s="32">
        <v>54</v>
      </c>
      <c r="H34" s="32">
        <v>71</v>
      </c>
      <c r="I34" s="32">
        <v>58</v>
      </c>
      <c r="J34" s="32">
        <v>42</v>
      </c>
      <c r="K34" s="17">
        <f t="shared" si="0"/>
        <v>0</v>
      </c>
      <c r="L34" s="18">
        <f t="shared" si="10"/>
        <v>7.1925452471313942E-3</v>
      </c>
      <c r="M34" s="19">
        <f t="shared" si="1"/>
        <v>232.05477881439089</v>
      </c>
      <c r="O34" s="18">
        <f t="shared" si="2"/>
        <v>11.440085992399464</v>
      </c>
      <c r="P34" s="18">
        <v>11.5</v>
      </c>
      <c r="R34" s="18">
        <v>0.115</v>
      </c>
      <c r="S34" s="18">
        <f t="shared" si="11"/>
        <v>-5.9914007600536223E-2</v>
      </c>
      <c r="T34" s="17">
        <f t="shared" si="3"/>
        <v>0</v>
      </c>
      <c r="AA34" s="16" t="s">
        <v>101</v>
      </c>
      <c r="AB34" s="21">
        <f t="shared" si="12"/>
        <v>5.4778814390886055</v>
      </c>
      <c r="AC34" s="21">
        <f t="shared" si="13"/>
        <v>-5.9914007600536223</v>
      </c>
      <c r="AD34" s="17">
        <f t="shared" si="4"/>
        <v>0</v>
      </c>
      <c r="AF34" s="42"/>
      <c r="AG34" s="13"/>
      <c r="AI34" s="21">
        <f t="shared" si="14"/>
        <v>5.4778814390886055</v>
      </c>
      <c r="AJ34" s="21">
        <f t="shared" si="15"/>
        <v>-5.9914007600536223</v>
      </c>
      <c r="AK34" s="17">
        <f t="shared" si="5"/>
        <v>0</v>
      </c>
      <c r="AL34" s="19">
        <f t="shared" si="6"/>
        <v>0</v>
      </c>
      <c r="AM34" s="22">
        <f t="shared" si="7"/>
        <v>0</v>
      </c>
      <c r="AN34" s="22">
        <f t="shared" si="8"/>
        <v>0</v>
      </c>
      <c r="AO34" s="22">
        <f t="shared" si="9"/>
        <v>0</v>
      </c>
      <c r="BA34" s="22">
        <f>$BA$33</f>
        <v>0</v>
      </c>
      <c r="BB34" s="22">
        <f>IF(AG27&gt;0,ABS(AG27),0)</f>
        <v>0</v>
      </c>
      <c r="BC34" s="23" t="s">
        <v>93</v>
      </c>
      <c r="BD34" s="22">
        <f>IF(AG27&lt;0,ABS(AG27),0)</f>
        <v>0</v>
      </c>
      <c r="BE34" s="22">
        <f>$BA$33</f>
        <v>0</v>
      </c>
      <c r="BG34" s="22">
        <f>$BG$33</f>
        <v>0</v>
      </c>
      <c r="BH34" s="22">
        <f>IF(AG26&gt;0,ABS(AG26),0)</f>
        <v>0</v>
      </c>
      <c r="BI34" s="23" t="s">
        <v>92</v>
      </c>
      <c r="BJ34" s="22">
        <f>IF(AG26&lt;0,ABS(AG26),0)</f>
        <v>0</v>
      </c>
      <c r="BK34" s="22">
        <f>$BG$33</f>
        <v>0</v>
      </c>
      <c r="BM34" s="22">
        <f>$BM$33</f>
        <v>0</v>
      </c>
      <c r="BN34" s="22">
        <f>IF(AG25&lt;0,ABS(AG25),0)</f>
        <v>0</v>
      </c>
      <c r="BO34" s="23" t="s">
        <v>91</v>
      </c>
      <c r="BP34" s="22">
        <f>IF(AG25&gt;0,ABS(AG25),0)</f>
        <v>0</v>
      </c>
      <c r="BQ34" s="22">
        <f>$BM$33</f>
        <v>0</v>
      </c>
    </row>
    <row r="35" spans="1:75">
      <c r="A35" s="1" t="s">
        <v>102</v>
      </c>
      <c r="B35" s="31">
        <v>161</v>
      </c>
      <c r="C35" s="31">
        <v>38</v>
      </c>
      <c r="D35" s="31">
        <v>36</v>
      </c>
      <c r="E35" s="31">
        <v>147</v>
      </c>
      <c r="F35" s="31">
        <v>54</v>
      </c>
      <c r="G35" s="31">
        <v>0</v>
      </c>
      <c r="H35" s="31">
        <v>69</v>
      </c>
      <c r="I35" s="31">
        <v>50</v>
      </c>
      <c r="J35" s="31">
        <v>54</v>
      </c>
      <c r="K35" s="9">
        <f t="shared" si="0"/>
        <v>0</v>
      </c>
      <c r="L35" s="10">
        <f t="shared" si="10"/>
        <v>1.4890262787766777E-2</v>
      </c>
      <c r="M35" s="11">
        <f t="shared" si="1"/>
        <v>232.05620384138962</v>
      </c>
      <c r="O35" s="10">
        <f t="shared" si="2"/>
        <v>1.186370849535143</v>
      </c>
      <c r="P35" s="10">
        <f>$P$15</f>
        <v>1.1499999999999999</v>
      </c>
      <c r="R35" s="10">
        <f>0.1*$P$15</f>
        <v>0.11499999999999999</v>
      </c>
      <c r="S35" s="10">
        <f t="shared" si="11"/>
        <v>3.6370849535143135E-2</v>
      </c>
      <c r="T35" s="9">
        <f t="shared" si="3"/>
        <v>0</v>
      </c>
      <c r="AA35" s="1" t="s">
        <v>102</v>
      </c>
      <c r="AB35" s="12">
        <f t="shared" si="12"/>
        <v>5.6203841389617537</v>
      </c>
      <c r="AC35" s="12">
        <f t="shared" si="13"/>
        <v>3.6370849535143135</v>
      </c>
      <c r="AD35" s="9">
        <f t="shared" si="4"/>
        <v>0</v>
      </c>
      <c r="AF35" s="43"/>
      <c r="AG35" s="13"/>
      <c r="AI35" s="12">
        <f t="shared" si="14"/>
        <v>5.6203841389617537</v>
      </c>
      <c r="AJ35" s="12">
        <f t="shared" si="15"/>
        <v>3.6370849535143135</v>
      </c>
      <c r="AK35" s="9">
        <f t="shared" si="5"/>
        <v>0</v>
      </c>
      <c r="AL35" s="11">
        <f t="shared" si="6"/>
        <v>0</v>
      </c>
      <c r="AM35" s="6">
        <f t="shared" si="7"/>
        <v>0</v>
      </c>
      <c r="AN35" s="6">
        <f t="shared" si="8"/>
        <v>0</v>
      </c>
      <c r="AO35" s="6">
        <f t="shared" si="9"/>
        <v>0</v>
      </c>
      <c r="BA35" s="6">
        <f>$BA$33</f>
        <v>0</v>
      </c>
      <c r="BB35" s="6">
        <f>$BA$33</f>
        <v>0</v>
      </c>
      <c r="BC35" s="6">
        <f>IF(AF27&gt;0,ABS(AF27),0)</f>
        <v>0</v>
      </c>
      <c r="BD35" s="6">
        <f>$BA$33</f>
        <v>0</v>
      </c>
      <c r="BE35" s="6">
        <f>$BA$33</f>
        <v>0</v>
      </c>
      <c r="BG35" s="6">
        <f>$BG$33</f>
        <v>0</v>
      </c>
      <c r="BH35" s="6">
        <f>$BG$33</f>
        <v>0</v>
      </c>
      <c r="BI35" s="6">
        <f>IF(AF26&gt;0,ABS(AF26),0)</f>
        <v>0</v>
      </c>
      <c r="BJ35" s="6">
        <f>$BG$33</f>
        <v>0</v>
      </c>
      <c r="BK35" s="6">
        <f>$BG$33</f>
        <v>0</v>
      </c>
      <c r="BM35" s="6">
        <f>$BM$33</f>
        <v>0</v>
      </c>
      <c r="BN35" s="6">
        <f>$BM$33</f>
        <v>0</v>
      </c>
      <c r="BO35" s="6">
        <f>IF(AF25&gt;0,ABS(AF25),0)</f>
        <v>0</v>
      </c>
      <c r="BP35" s="6">
        <f>$BM$33</f>
        <v>0</v>
      </c>
      <c r="BQ35" s="6">
        <f>$BM$33</f>
        <v>0</v>
      </c>
    </row>
    <row r="36" spans="1:75">
      <c r="A36" s="1" t="s">
        <v>103</v>
      </c>
      <c r="B36" s="31">
        <v>162</v>
      </c>
      <c r="C36" s="31">
        <v>9</v>
      </c>
      <c r="D36" s="31">
        <v>12</v>
      </c>
      <c r="E36" s="31">
        <v>148</v>
      </c>
      <c r="F36" s="31">
        <v>41</v>
      </c>
      <c r="G36" s="31">
        <v>0</v>
      </c>
      <c r="H36" s="31">
        <v>69</v>
      </c>
      <c r="I36" s="31">
        <v>18</v>
      </c>
      <c r="J36" s="31">
        <v>0</v>
      </c>
      <c r="K36" s="9">
        <f t="shared" si="0"/>
        <v>0</v>
      </c>
      <c r="L36" s="10">
        <f t="shared" si="10"/>
        <v>3.4693299504858569E-2</v>
      </c>
      <c r="M36" s="11">
        <f t="shared" si="1"/>
        <v>232.05923123363888</v>
      </c>
      <c r="O36" s="10">
        <f t="shared" si="2"/>
        <v>1.0912401779868566</v>
      </c>
      <c r="P36" s="10">
        <f>$P$15</f>
        <v>1.1499999999999999</v>
      </c>
      <c r="R36" s="10">
        <f>0.1*$P$15</f>
        <v>0.11499999999999999</v>
      </c>
      <c r="S36" s="10">
        <f t="shared" si="11"/>
        <v>-5.8759822013143337E-2</v>
      </c>
      <c r="T36" s="9">
        <f t="shared" si="3"/>
        <v>0</v>
      </c>
      <c r="AA36" s="1" t="s">
        <v>103</v>
      </c>
      <c r="AB36" s="12">
        <f t="shared" si="12"/>
        <v>5.9231233638882941</v>
      </c>
      <c r="AC36" s="12">
        <f t="shared" si="13"/>
        <v>-5.8759822013143337</v>
      </c>
      <c r="AD36" s="9">
        <f t="shared" si="4"/>
        <v>0</v>
      </c>
      <c r="AF36" s="43"/>
      <c r="AG36" s="13"/>
      <c r="AI36" s="12">
        <f t="shared" si="14"/>
        <v>5.9231233638882941</v>
      </c>
      <c r="AJ36" s="12">
        <f t="shared" si="15"/>
        <v>-5.8759822013143337</v>
      </c>
      <c r="AK36" s="9">
        <f t="shared" si="5"/>
        <v>0</v>
      </c>
      <c r="AL36" s="11">
        <f t="shared" si="6"/>
        <v>0</v>
      </c>
      <c r="AM36" s="6">
        <f t="shared" si="7"/>
        <v>0</v>
      </c>
      <c r="AN36" s="6">
        <f t="shared" si="8"/>
        <v>0</v>
      </c>
      <c r="AO36" s="6">
        <f t="shared" si="9"/>
        <v>0</v>
      </c>
    </row>
    <row r="37" spans="1:75" s="20" customFormat="1">
      <c r="A37" s="16" t="s">
        <v>104</v>
      </c>
      <c r="B37" s="32">
        <v>163</v>
      </c>
      <c r="C37" s="32">
        <v>22</v>
      </c>
      <c r="D37" s="32">
        <v>18</v>
      </c>
      <c r="E37" s="32">
        <v>152</v>
      </c>
      <c r="F37" s="32">
        <v>42</v>
      </c>
      <c r="G37" s="32">
        <v>6</v>
      </c>
      <c r="H37" s="32">
        <v>89</v>
      </c>
      <c r="I37" s="32">
        <v>12</v>
      </c>
      <c r="J37" s="32">
        <v>12</v>
      </c>
      <c r="K37" s="17">
        <f t="shared" si="0"/>
        <v>0</v>
      </c>
      <c r="L37" s="18">
        <f t="shared" si="10"/>
        <v>5.1170227458449395E-2</v>
      </c>
      <c r="M37" s="19">
        <f t="shared" si="1"/>
        <v>259.15796369243463</v>
      </c>
      <c r="O37" s="18">
        <f t="shared" si="2"/>
        <v>1.2116024830039467</v>
      </c>
      <c r="P37" s="18">
        <v>1.25</v>
      </c>
      <c r="R37" s="18">
        <v>6.25E-2</v>
      </c>
      <c r="S37" s="18">
        <f t="shared" si="11"/>
        <v>-3.8397516996053316E-2</v>
      </c>
      <c r="T37" s="17">
        <f t="shared" si="3"/>
        <v>0</v>
      </c>
      <c r="AA37" s="16" t="s">
        <v>104</v>
      </c>
      <c r="AB37" s="21">
        <f t="shared" si="12"/>
        <v>15.796369243463459</v>
      </c>
      <c r="AC37" s="21">
        <f t="shared" si="13"/>
        <v>-3.8397516996053316</v>
      </c>
      <c r="AD37" s="17">
        <f t="shared" si="4"/>
        <v>0</v>
      </c>
      <c r="AF37" s="42"/>
      <c r="AG37" s="13"/>
      <c r="AI37" s="21">
        <f t="shared" si="14"/>
        <v>15.796369243463459</v>
      </c>
      <c r="AJ37" s="21">
        <f t="shared" si="15"/>
        <v>-3.8397516996053316</v>
      </c>
      <c r="AK37" s="17">
        <f t="shared" si="5"/>
        <v>0</v>
      </c>
      <c r="AL37" s="19">
        <f t="shared" si="6"/>
        <v>0</v>
      </c>
      <c r="AM37" s="22">
        <f t="shared" si="7"/>
        <v>0</v>
      </c>
      <c r="AN37" s="22">
        <f t="shared" si="8"/>
        <v>0</v>
      </c>
      <c r="AO37" s="22">
        <f t="shared" si="9"/>
        <v>0</v>
      </c>
    </row>
    <row r="38" spans="1:75" s="20" customFormat="1">
      <c r="A38" s="16" t="s">
        <v>105</v>
      </c>
      <c r="B38" s="32">
        <v>163</v>
      </c>
      <c r="C38" s="32">
        <v>53</v>
      </c>
      <c r="D38" s="32">
        <v>6</v>
      </c>
      <c r="E38" s="32">
        <v>153</v>
      </c>
      <c r="F38" s="32">
        <v>27</v>
      </c>
      <c r="G38" s="32">
        <v>24</v>
      </c>
      <c r="H38" s="32">
        <v>89</v>
      </c>
      <c r="I38" s="32">
        <v>12</v>
      </c>
      <c r="J38" s="32">
        <v>12</v>
      </c>
      <c r="K38" s="17">
        <f t="shared" si="0"/>
        <v>0</v>
      </c>
      <c r="L38" s="18">
        <f t="shared" si="10"/>
        <v>1.1489567044425232E-2</v>
      </c>
      <c r="M38" s="19">
        <f t="shared" si="1"/>
        <v>259.13850260971338</v>
      </c>
      <c r="O38" s="18">
        <f t="shared" si="2"/>
        <v>1.2782897337888222</v>
      </c>
      <c r="P38" s="18">
        <v>1.25</v>
      </c>
      <c r="R38" s="18">
        <v>6.25E-2</v>
      </c>
      <c r="S38" s="18">
        <f t="shared" si="11"/>
        <v>2.8289733788822158E-2</v>
      </c>
      <c r="T38" s="17">
        <f t="shared" si="3"/>
        <v>0</v>
      </c>
      <c r="AA38" s="16" t="s">
        <v>105</v>
      </c>
      <c r="AB38" s="21">
        <f t="shared" si="12"/>
        <v>13.850260971338457</v>
      </c>
      <c r="AC38" s="21">
        <f t="shared" si="13"/>
        <v>2.8289733788822158</v>
      </c>
      <c r="AD38" s="17">
        <f t="shared" si="4"/>
        <v>0</v>
      </c>
      <c r="AF38" s="42"/>
      <c r="AG38" s="13"/>
      <c r="AI38" s="21">
        <f t="shared" si="14"/>
        <v>13.850260971338457</v>
      </c>
      <c r="AJ38" s="21">
        <f t="shared" si="15"/>
        <v>2.8289733788822158</v>
      </c>
      <c r="AK38" s="17">
        <f t="shared" si="5"/>
        <v>0</v>
      </c>
      <c r="AL38" s="19">
        <f t="shared" si="6"/>
        <v>0</v>
      </c>
      <c r="AM38" s="22">
        <f t="shared" si="7"/>
        <v>0</v>
      </c>
      <c r="AN38" s="22">
        <f t="shared" si="8"/>
        <v>0</v>
      </c>
      <c r="AO38" s="22">
        <f t="shared" si="9"/>
        <v>0</v>
      </c>
      <c r="BG38" s="22">
        <f>IF($BI38+$BI40+$BJ39+$BH39&gt;0,99999,0)</f>
        <v>0</v>
      </c>
      <c r="BH38" s="22">
        <f>$BG$38</f>
        <v>0</v>
      </c>
      <c r="BI38" s="22">
        <f>IF(AF30&lt;0,ABS(AF30),0)</f>
        <v>0</v>
      </c>
      <c r="BJ38" s="22">
        <f>$BG$38</f>
        <v>0</v>
      </c>
      <c r="BK38" s="22">
        <f>$BG$38</f>
        <v>0</v>
      </c>
      <c r="BM38" s="22">
        <f>IF($BO38+$BO40+$BN39+$BP39&gt;0,99999,0)</f>
        <v>0</v>
      </c>
      <c r="BN38" s="22">
        <f>$BM$38</f>
        <v>0</v>
      </c>
      <c r="BO38" s="22">
        <f>IF(AF29&lt;0,ABS(AF29),0)</f>
        <v>0</v>
      </c>
      <c r="BP38" s="22">
        <f>$BM$38</f>
        <v>0</v>
      </c>
      <c r="BQ38" s="22">
        <f>$BM$38</f>
        <v>0</v>
      </c>
      <c r="BS38" s="22">
        <f>IF($BU38+$BU40+$BT39+$BV39&gt;0,99999,0)</f>
        <v>0</v>
      </c>
      <c r="BT38" s="22">
        <f>$BS$38</f>
        <v>0</v>
      </c>
      <c r="BU38" s="22">
        <f>IF(AF28&lt;0,ABS(AF28),0)</f>
        <v>0</v>
      </c>
      <c r="BV38" s="22">
        <f>$BS$38</f>
        <v>0</v>
      </c>
      <c r="BW38" s="22">
        <f>$BS$38</f>
        <v>0</v>
      </c>
    </row>
    <row r="39" spans="1:75">
      <c r="A39" s="1" t="s">
        <v>106</v>
      </c>
      <c r="B39" s="31">
        <v>166</v>
      </c>
      <c r="C39" s="31">
        <v>2</v>
      </c>
      <c r="D39" s="31">
        <v>54</v>
      </c>
      <c r="E39" s="31">
        <v>159</v>
      </c>
      <c r="F39" s="31">
        <v>8</v>
      </c>
      <c r="G39" s="31">
        <v>48</v>
      </c>
      <c r="H39" s="40">
        <v>124</v>
      </c>
      <c r="I39" s="31">
        <v>38</v>
      </c>
      <c r="J39" s="31">
        <v>12</v>
      </c>
      <c r="K39" s="9">
        <f t="shared" si="0"/>
        <v>0</v>
      </c>
      <c r="L39" s="10">
        <f>IF(C97=0,0,2*SQRT((V97-R97)*(V97-S97)*(V97-U97)/V97)/(P97))</f>
        <v>1.9475963972067779E-2</v>
      </c>
      <c r="M39" s="11">
        <f t="shared" si="1"/>
        <v>313.95091326238395</v>
      </c>
      <c r="O39" s="10">
        <f t="shared" si="2"/>
        <v>1.0980521384900763</v>
      </c>
      <c r="P39" s="10">
        <f>$P$15</f>
        <v>1.1499999999999999</v>
      </c>
      <c r="R39" s="10">
        <f>0.1*$P$15</f>
        <v>0.11499999999999999</v>
      </c>
      <c r="S39" s="10">
        <f>IF(C97=0,0,+O39-P39)</f>
        <v>-5.1947861509923587E-2</v>
      </c>
      <c r="T39" s="9">
        <f t="shared" si="3"/>
        <v>0</v>
      </c>
      <c r="AA39" s="1" t="s">
        <v>106</v>
      </c>
      <c r="AB39" s="12">
        <f>IF(B97=0,0,IF($AI$4=0,100*(M39-AB134),(M39-AB134)/0.0254))</f>
        <v>-4.9086737616050868</v>
      </c>
      <c r="AC39" s="12">
        <f>IF(B97=0,0,IF($AI$4=0,100*(O39-AC134),(O39-AC134)/0.0254))</f>
        <v>-5.1947861509923587</v>
      </c>
      <c r="AD39" s="9">
        <f t="shared" si="4"/>
        <v>0</v>
      </c>
      <c r="AF39" s="43"/>
      <c r="AG39" s="13"/>
      <c r="AI39" s="12">
        <f>IF(B97=0,0,IF($AI$4=0,100*(AF134-AB134),(AF134-AB134)/0.0254))</f>
        <v>-4.9086737616050868</v>
      </c>
      <c r="AJ39" s="12">
        <f>IF(B97=0,0,IF($AI$4=0,100*(AG134-AC134),(AG134-AC134)/0.0254))</f>
        <v>-5.1947861509923587</v>
      </c>
      <c r="AK39" s="9">
        <f t="shared" si="5"/>
        <v>0</v>
      </c>
      <c r="AL39" s="11">
        <f t="shared" si="6"/>
        <v>0</v>
      </c>
      <c r="AM39" s="6">
        <f t="shared" si="7"/>
        <v>0</v>
      </c>
      <c r="AN39" s="6">
        <f t="shared" si="8"/>
        <v>0</v>
      </c>
      <c r="AO39" s="6">
        <f t="shared" si="9"/>
        <v>0</v>
      </c>
      <c r="BG39" s="6">
        <f>$BG$38</f>
        <v>0</v>
      </c>
      <c r="BH39" s="6">
        <f>IF(AG30&gt;0,ABS(AG30),0)</f>
        <v>0</v>
      </c>
      <c r="BI39" s="8" t="s">
        <v>97</v>
      </c>
      <c r="BJ39" s="6">
        <f>IF(AG30&lt;0,ABS(AG30),0)</f>
        <v>0</v>
      </c>
      <c r="BK39" s="6">
        <f>$BG$38</f>
        <v>0</v>
      </c>
      <c r="BM39" s="6">
        <f>$BM$38</f>
        <v>0</v>
      </c>
      <c r="BN39" s="6">
        <f>IF(AG29&lt;0,ABS(AG29),0)</f>
        <v>0</v>
      </c>
      <c r="BO39" s="8" t="s">
        <v>95</v>
      </c>
      <c r="BP39" s="6">
        <f>IF(AG29&gt;0,ABS(AG29),0)</f>
        <v>0</v>
      </c>
      <c r="BQ39" s="6">
        <f>$BM$38</f>
        <v>0</v>
      </c>
      <c r="BS39" s="6">
        <f>$BS$38</f>
        <v>0</v>
      </c>
      <c r="BT39" s="6">
        <f>IF(AG28&lt;0,ABS(AG28),0)</f>
        <v>0</v>
      </c>
      <c r="BU39" s="8" t="s">
        <v>94</v>
      </c>
      <c r="BV39" s="6">
        <f>IF(AG28&gt;0,ABS(AG28),0)</f>
        <v>0</v>
      </c>
      <c r="BW39" s="6">
        <f>$BS$38</f>
        <v>0</v>
      </c>
    </row>
    <row r="40" spans="1:75">
      <c r="A40" s="1" t="s">
        <v>107</v>
      </c>
      <c r="B40" s="31">
        <v>166</v>
      </c>
      <c r="C40" s="31">
        <v>26</v>
      </c>
      <c r="D40" s="31">
        <v>12</v>
      </c>
      <c r="E40" s="31">
        <v>159</v>
      </c>
      <c r="F40" s="31">
        <v>41</v>
      </c>
      <c r="G40" s="39">
        <v>54</v>
      </c>
      <c r="H40" s="39">
        <v>125</v>
      </c>
      <c r="I40" s="31">
        <v>27</v>
      </c>
      <c r="J40" s="31">
        <v>12</v>
      </c>
      <c r="K40" s="9">
        <f t="shared" si="0"/>
        <v>0</v>
      </c>
      <c r="L40" s="10">
        <f>IF(C98=0,0,2*SQRT((V98-R98)*(V98-S98)*(V98-U98)/V98)/(P98))</f>
        <v>8.7728295156353365E-4</v>
      </c>
      <c r="M40" s="11">
        <f t="shared" si="1"/>
        <v>313.97889945311346</v>
      </c>
      <c r="O40" s="10">
        <f t="shared" si="2"/>
        <v>1.1308367792014224</v>
      </c>
      <c r="P40" s="10">
        <f>$P$15</f>
        <v>1.1499999999999999</v>
      </c>
      <c r="R40" s="10">
        <f>0.1*$P$15</f>
        <v>0.11499999999999999</v>
      </c>
      <c r="S40" s="10">
        <f>IF(C98=0,0,+O40-P40)</f>
        <v>-1.9163220798577463E-2</v>
      </c>
      <c r="T40" s="9">
        <f t="shared" si="3"/>
        <v>0</v>
      </c>
      <c r="AA40" s="1" t="s">
        <v>107</v>
      </c>
      <c r="AB40" s="12">
        <f>IF(B98=0,0,IF($AI$4=0,100*(M40-AB135),(M40-AB135)/0.0254))</f>
        <v>-2.1100546886543725</v>
      </c>
      <c r="AC40" s="12">
        <f>IF(B98=0,0,IF($AI$4=0,100*(O40-AC135),(O40-AC135)/0.0254))</f>
        <v>-1.9163220798577463</v>
      </c>
      <c r="AD40" s="9">
        <f t="shared" si="4"/>
        <v>0</v>
      </c>
      <c r="AF40" s="43"/>
      <c r="AG40" s="13"/>
      <c r="AI40" s="12">
        <f>IF(B98=0,0,IF($AI$4=0,100*(AF135-AB135),(AF135-AB135)/0.0254))</f>
        <v>-2.1100546886543725</v>
      </c>
      <c r="AJ40" s="12">
        <f>IF(B98=0,0,IF($AI$4=0,100*(AG135-AC135),(AG135-AC135)/0.0254))</f>
        <v>-1.9163220798577463</v>
      </c>
      <c r="AK40" s="9">
        <f t="shared" si="5"/>
        <v>0</v>
      </c>
      <c r="AL40" s="11">
        <f t="shared" si="6"/>
        <v>0</v>
      </c>
      <c r="AM40" s="6">
        <f t="shared" si="7"/>
        <v>0</v>
      </c>
      <c r="AN40" s="6">
        <f t="shared" si="8"/>
        <v>0</v>
      </c>
      <c r="AO40" s="6">
        <f t="shared" si="9"/>
        <v>0</v>
      </c>
      <c r="BG40" s="6">
        <f>$BG$38</f>
        <v>0</v>
      </c>
      <c r="BH40" s="6">
        <f>$BG$38</f>
        <v>0</v>
      </c>
      <c r="BI40" s="6">
        <f>IF(AF30&gt;0,ABS(AF30),0)</f>
        <v>0</v>
      </c>
      <c r="BJ40" s="6">
        <f>$BG$38</f>
        <v>0</v>
      </c>
      <c r="BK40" s="6">
        <f>$BG$38</f>
        <v>0</v>
      </c>
      <c r="BM40" s="6">
        <f>$BM$38</f>
        <v>0</v>
      </c>
      <c r="BN40" s="6">
        <f>$BM$38</f>
        <v>0</v>
      </c>
      <c r="BO40" s="6">
        <f>IF(AF29&gt;0,ABS(AF29),0)</f>
        <v>0</v>
      </c>
      <c r="BP40" s="6">
        <f>$BM$38</f>
        <v>0</v>
      </c>
      <c r="BQ40" s="6">
        <f>$BM$38</f>
        <v>0</v>
      </c>
      <c r="BS40" s="6">
        <f>$BS$38</f>
        <v>0</v>
      </c>
      <c r="BT40" s="6">
        <f>$BS$38</f>
        <v>0</v>
      </c>
      <c r="BU40" s="6">
        <f>IF(AF28&gt;0,ABS(AF28),0)</f>
        <v>0</v>
      </c>
      <c r="BV40" s="6">
        <f>$BS$38</f>
        <v>0</v>
      </c>
      <c r="BW40" s="6">
        <f>$BS$38</f>
        <v>0</v>
      </c>
    </row>
    <row r="41" spans="1:75">
      <c r="A41" s="1" t="s">
        <v>96</v>
      </c>
      <c r="B41" s="3">
        <v>179</v>
      </c>
      <c r="C41" s="3">
        <v>44</v>
      </c>
      <c r="D41" s="3">
        <v>0</v>
      </c>
      <c r="E41" s="3">
        <v>0</v>
      </c>
      <c r="F41" s="3">
        <v>34</v>
      </c>
      <c r="G41" s="3">
        <v>48</v>
      </c>
      <c r="H41" s="3">
        <v>0</v>
      </c>
      <c r="I41" s="3">
        <v>6</v>
      </c>
      <c r="J41" s="3">
        <v>28</v>
      </c>
      <c r="K41" s="9">
        <f t="shared" si="0"/>
        <v>0</v>
      </c>
      <c r="L41" s="10">
        <f>2*SQRT((V99-R99)*(V99-S99)*(V99-U99)/V99)/(P99)</f>
        <v>1.077336583850631E-2</v>
      </c>
      <c r="M41" s="11">
        <f t="shared" si="1"/>
        <v>74.393173500155171</v>
      </c>
      <c r="O41" s="10">
        <f t="shared" si="2"/>
        <v>72.978255268024398</v>
      </c>
      <c r="P41" s="1" t="s">
        <v>108</v>
      </c>
      <c r="R41" s="11">
        <f>ATAN2(M41-(M17+M18)/2,O41)*$L$179</f>
        <v>44.403370819146595</v>
      </c>
      <c r="S41" s="11">
        <f>R41-44</f>
        <v>0.40337081914659478</v>
      </c>
      <c r="T41" s="9">
        <f>IF(ABS(S41)&gt;3,99999,0)</f>
        <v>0</v>
      </c>
      <c r="AB41" s="4" t="s">
        <v>75</v>
      </c>
      <c r="AC41" s="4" t="s">
        <v>75</v>
      </c>
      <c r="AI41" s="4" t="s">
        <v>75</v>
      </c>
      <c r="AJ41" s="4" t="s">
        <v>75</v>
      </c>
    </row>
    <row r="42" spans="1:75">
      <c r="A42" s="1" t="s">
        <v>109</v>
      </c>
      <c r="B42" s="3">
        <v>151</v>
      </c>
      <c r="C42" s="3">
        <v>6</v>
      </c>
      <c r="D42" s="3">
        <v>54</v>
      </c>
      <c r="E42" s="3">
        <v>131</v>
      </c>
      <c r="F42" s="3">
        <v>11</v>
      </c>
      <c r="G42" s="3">
        <v>42</v>
      </c>
      <c r="H42" s="3">
        <v>67</v>
      </c>
      <c r="I42" s="3">
        <v>20</v>
      </c>
      <c r="J42" s="3">
        <v>48</v>
      </c>
      <c r="K42" s="9">
        <f t="shared" si="0"/>
        <v>0</v>
      </c>
      <c r="L42" s="10">
        <f>2*SQRT((V100-R100)*(V100-S100)*(V100-U100)/V100)/(P100)</f>
        <v>5.3854180269855709E-2</v>
      </c>
      <c r="M42" s="11">
        <f t="shared" si="1"/>
        <v>212.18192279284838</v>
      </c>
      <c r="O42" s="10">
        <f t="shared" si="2"/>
        <v>41.078738289773739</v>
      </c>
      <c r="P42" s="1" t="s">
        <v>108</v>
      </c>
      <c r="R42" s="11">
        <f>ATAN2((M37+M38)/2-M42,O42)*$L$179</f>
        <v>41.174326946660663</v>
      </c>
      <c r="S42" s="11">
        <f>R42-44</f>
        <v>-2.8256730533393366</v>
      </c>
      <c r="T42" s="9">
        <f>IF(ABS(S42)&gt;3,99999,0)</f>
        <v>0</v>
      </c>
      <c r="V42" s="10"/>
      <c r="AB42" s="12">
        <f>SUM(AB73:AB98)/($C$100+6)</f>
        <v>9.5709613086542351</v>
      </c>
      <c r="AC42" s="12">
        <f>SUM(AC73:AC98)/($C$100+6)</f>
        <v>3.6659643580430696</v>
      </c>
      <c r="AE42" s="1" t="s">
        <v>110</v>
      </c>
      <c r="AF42" s="1" t="s">
        <v>111</v>
      </c>
      <c r="AI42" s="12">
        <f>SUM(AI73:AI98)/($C$100+6)</f>
        <v>9.5709613086542351</v>
      </c>
      <c r="AJ42" s="12">
        <f>SUM(AJ73:AJ98)/($C$100+6)</f>
        <v>3.6659643580430696</v>
      </c>
      <c r="AL42" s="1" t="s">
        <v>112</v>
      </c>
    </row>
    <row r="43" spans="1:75">
      <c r="A43" s="1" t="s">
        <v>113</v>
      </c>
      <c r="B43" s="3">
        <v>180</v>
      </c>
      <c r="C43" s="3">
        <v>0</v>
      </c>
      <c r="D43" s="3">
        <v>0</v>
      </c>
      <c r="E43" s="3">
        <v>180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9">
        <f>IF(ABS(L43)&gt;60,99999,0)</f>
        <v>0</v>
      </c>
      <c r="L43" s="9">
        <f>648000*(PI()-B103-E103-H103)/PI()</f>
        <v>0</v>
      </c>
      <c r="M43" s="1" t="s">
        <v>114</v>
      </c>
      <c r="S43" s="9">
        <f>648000*(ABS(B103-B104)+ABS(E103-E104)+ABS(H103-H104))/PI()</f>
        <v>0</v>
      </c>
      <c r="T43" s="9">
        <f>IF(S43&gt;60,99999,0)</f>
        <v>0</v>
      </c>
      <c r="AL43" s="1" t="s">
        <v>115</v>
      </c>
      <c r="AN43" s="1" t="s">
        <v>116</v>
      </c>
      <c r="BA43" s="6">
        <f>IF($BC43+$BC45+$BD44+$BB44&gt;0,99999,0)</f>
        <v>0</v>
      </c>
      <c r="BB43" s="6">
        <f>$BA$43</f>
        <v>0</v>
      </c>
      <c r="BC43" s="6">
        <f>IF(AF33&lt;0,ABS(AF33),0)</f>
        <v>0</v>
      </c>
      <c r="BD43" s="6">
        <f>$BA$43</f>
        <v>0</v>
      </c>
      <c r="BE43" s="6">
        <f>$BA$43</f>
        <v>0</v>
      </c>
      <c r="BG43" s="6">
        <f>IF($BI43+$BI45+$BJ44+$BH44&gt;0,99999,0)</f>
        <v>0</v>
      </c>
      <c r="BH43" s="6">
        <f>$BG$43</f>
        <v>0</v>
      </c>
      <c r="BI43" s="6">
        <f>IF(AF32&lt;0,ABS(AF32),0)</f>
        <v>0</v>
      </c>
      <c r="BJ43" s="6">
        <f>$BG$43</f>
        <v>0</v>
      </c>
      <c r="BK43" s="6">
        <f>$BG$43</f>
        <v>0</v>
      </c>
      <c r="BM43" s="6">
        <f>IF($BO43+$BO45+$BN44+$BP44&gt;0,99999,0)</f>
        <v>0</v>
      </c>
      <c r="BN43" s="6">
        <f>$BM$43</f>
        <v>0</v>
      </c>
      <c r="BO43" s="6">
        <f>IF(AF31&lt;0,ABS(AF31),0)</f>
        <v>0</v>
      </c>
      <c r="BP43" s="6">
        <f>$BM$43</f>
        <v>0</v>
      </c>
      <c r="BQ43" s="6">
        <f>$BM$43</f>
        <v>0</v>
      </c>
      <c r="BS43" s="6">
        <f>IF($BU43+$BU45+$BT44+$BV44&gt;0,99999,0)</f>
        <v>0</v>
      </c>
      <c r="BT43" s="6">
        <f>$BS$43</f>
        <v>0</v>
      </c>
      <c r="BU43" s="6">
        <f>IF(AF45&lt;0,ABS(AF45),0)</f>
        <v>0</v>
      </c>
      <c r="BV43" s="6">
        <f>$BS$43</f>
        <v>0</v>
      </c>
      <c r="BW43" s="6">
        <f>$BS$43</f>
        <v>0</v>
      </c>
    </row>
    <row r="44" spans="1:75">
      <c r="A44" s="1" t="s">
        <v>72</v>
      </c>
      <c r="B44" s="1" t="s">
        <v>36</v>
      </c>
      <c r="C44" s="7" t="s">
        <v>37</v>
      </c>
      <c r="D44" s="7" t="s">
        <v>37</v>
      </c>
      <c r="E44" s="1" t="s">
        <v>73</v>
      </c>
      <c r="F44" s="7" t="s">
        <v>37</v>
      </c>
      <c r="G44" s="7" t="s">
        <v>37</v>
      </c>
      <c r="H44" s="1" t="s">
        <v>73</v>
      </c>
      <c r="I44" s="7" t="s">
        <v>37</v>
      </c>
      <c r="J44" s="7" t="s">
        <v>37</v>
      </c>
      <c r="L44" s="1" t="s">
        <v>117</v>
      </c>
      <c r="M44" s="1" t="s">
        <v>117</v>
      </c>
      <c r="O44" s="1" t="s">
        <v>117</v>
      </c>
      <c r="P44" s="1" t="s">
        <v>117</v>
      </c>
      <c r="R44" s="1" t="s">
        <v>117</v>
      </c>
      <c r="S44" s="1" t="s">
        <v>117</v>
      </c>
      <c r="AA44" s="1" t="s">
        <v>96</v>
      </c>
      <c r="AB44" s="1" t="s">
        <v>108</v>
      </c>
      <c r="AC44" s="11">
        <f>(R41)</f>
        <v>44.403370819146595</v>
      </c>
      <c r="AD44" s="9">
        <f>IF(ABS(AC44-44)&gt;3,99999,0)</f>
        <v>0</v>
      </c>
      <c r="AF44" s="3"/>
      <c r="AG44" s="3"/>
      <c r="AI44" s="1" t="s">
        <v>108</v>
      </c>
      <c r="AJ44" s="11">
        <f>ATAN2(AF136-(AF112+AF113)/2,AG136)*$L$179</f>
        <v>44.403370819146595</v>
      </c>
      <c r="AK44" s="9">
        <f>IF(ABS(AJ44-44)&gt;3,99999,0)</f>
        <v>0</v>
      </c>
      <c r="AL44" s="1" t="s">
        <v>118</v>
      </c>
      <c r="AN44" s="1" t="s">
        <v>119</v>
      </c>
      <c r="BA44" s="6">
        <f>$BA$43</f>
        <v>0</v>
      </c>
      <c r="BB44" s="6">
        <f>IF(AG33&gt;0,ABS(AG33),0)</f>
        <v>0</v>
      </c>
      <c r="BC44" s="8" t="s">
        <v>100</v>
      </c>
      <c r="BD44" s="6">
        <f>IF(AG33&lt;0,ABS(AG33),0)</f>
        <v>0</v>
      </c>
      <c r="BE44" s="6">
        <f>$BA$43</f>
        <v>0</v>
      </c>
      <c r="BG44" s="6">
        <f>$BG$43</f>
        <v>0</v>
      </c>
      <c r="BH44" s="6">
        <f>IF(AG32&gt;0,ABS(AG32),0)</f>
        <v>0</v>
      </c>
      <c r="BI44" s="8" t="s">
        <v>99</v>
      </c>
      <c r="BJ44" s="6">
        <f>IF(AG32&lt;0,ABS(AG32),0)</f>
        <v>0</v>
      </c>
      <c r="BK44" s="6">
        <f>$BG$43</f>
        <v>0</v>
      </c>
      <c r="BM44" s="6">
        <f>$BM$43</f>
        <v>0</v>
      </c>
      <c r="BN44" s="6">
        <f>IF(AG31&lt;0,ABS(AG31),0)</f>
        <v>0</v>
      </c>
      <c r="BO44" s="8" t="s">
        <v>98</v>
      </c>
      <c r="BP44" s="6">
        <f>IF(AG31&gt;0,ABS(AG31),0)</f>
        <v>0</v>
      </c>
      <c r="BQ44" s="6">
        <f>$BM$43</f>
        <v>0</v>
      </c>
      <c r="BS44" s="6">
        <f>$BS$43</f>
        <v>0</v>
      </c>
      <c r="BT44" s="6">
        <f>IF(AG45&lt;0,ABS(AG45),0)</f>
        <v>0</v>
      </c>
      <c r="BU44" s="8" t="s">
        <v>109</v>
      </c>
      <c r="BV44" s="6">
        <f>IF(AG45&gt;0,ABS(AG45),0)</f>
        <v>0</v>
      </c>
      <c r="BW44" s="6">
        <f>$BS$43</f>
        <v>0</v>
      </c>
    </row>
    <row r="45" spans="1:75">
      <c r="E45" s="3">
        <v>359</v>
      </c>
      <c r="F45" s="3">
        <v>59</v>
      </c>
      <c r="G45" s="1" t="s">
        <v>120</v>
      </c>
      <c r="J45" s="3">
        <v>30</v>
      </c>
      <c r="L45" s="10">
        <f>SUM(L15:L40)/(C100+6)</f>
        <v>2.2675264344789774E-2</v>
      </c>
      <c r="N45" s="9">
        <f>IF(O45&lt;11.48,1000000000,0)</f>
        <v>0</v>
      </c>
      <c r="O45" s="10">
        <f>(O21+O22+O27+O28+O33+O34)/6</f>
        <v>11.480850026178727</v>
      </c>
      <c r="P45" s="1" t="s">
        <v>121</v>
      </c>
      <c r="AA45" s="1" t="s">
        <v>109</v>
      </c>
      <c r="AB45" s="1" t="s">
        <v>108</v>
      </c>
      <c r="AC45" s="11">
        <f>(R42)</f>
        <v>41.174326946660663</v>
      </c>
      <c r="AD45" s="9">
        <f>IF(ABS(AC45-44)&gt;3,99999,0)</f>
        <v>0</v>
      </c>
      <c r="AF45" s="3"/>
      <c r="AG45" s="3"/>
      <c r="AI45" s="1" t="s">
        <v>108</v>
      </c>
      <c r="AJ45" s="11">
        <f>ATAN2((AF132+AF133)/2-AF137,AG137)*$L$179</f>
        <v>41.174326946660663</v>
      </c>
      <c r="AK45" s="9">
        <f>IF(ABS(AJ45-44)&gt;3,99999,0)</f>
        <v>0</v>
      </c>
      <c r="AM45" s="10">
        <f>(AG116+AG117+AG122+AG123+AG128+AG129)/6</f>
        <v>11.480850026178727</v>
      </c>
      <c r="AN45" s="9">
        <f>IF(AM45&lt;11.48,99999,0)</f>
        <v>0</v>
      </c>
      <c r="BA45" s="6">
        <f>$BA$43</f>
        <v>0</v>
      </c>
      <c r="BB45" s="6">
        <f>$BA$43</f>
        <v>0</v>
      </c>
      <c r="BC45" s="6">
        <f>IF(AF33&gt;0,ABS(AF33),0)</f>
        <v>0</v>
      </c>
      <c r="BD45" s="6">
        <f>$BA$43</f>
        <v>0</v>
      </c>
      <c r="BE45" s="6">
        <f>$BA$43</f>
        <v>0</v>
      </c>
      <c r="BG45" s="6">
        <f>$BG$43</f>
        <v>0</v>
      </c>
      <c r="BH45" s="6">
        <f>$BG$43</f>
        <v>0</v>
      </c>
      <c r="BI45" s="6">
        <f>IF(AF32&gt;0,ABS(AF32),0)</f>
        <v>0</v>
      </c>
      <c r="BJ45" s="6">
        <f>$BG$43</f>
        <v>0</v>
      </c>
      <c r="BK45" s="6">
        <f>$BG$43</f>
        <v>0</v>
      </c>
      <c r="BM45" s="6">
        <f>$BM$43</f>
        <v>0</v>
      </c>
      <c r="BN45" s="6">
        <f>$BM$43</f>
        <v>0</v>
      </c>
      <c r="BO45" s="6">
        <f>IF(AF31&gt;0,ABS(AF31),0)</f>
        <v>0</v>
      </c>
      <c r="BP45" s="6">
        <f>$BM$43</f>
        <v>0</v>
      </c>
      <c r="BQ45" s="6">
        <f>$BM$43</f>
        <v>0</v>
      </c>
      <c r="BS45" s="6">
        <f>$BS$43</f>
        <v>0</v>
      </c>
      <c r="BT45" s="6">
        <f>$BS$43</f>
        <v>0</v>
      </c>
      <c r="BU45" s="6">
        <f>IF(AF45&gt;0,ABS(AF45),0)</f>
        <v>0</v>
      </c>
      <c r="BV45" s="6">
        <f>$BS$43</f>
        <v>0</v>
      </c>
      <c r="BW45" s="6">
        <f>$BS$43</f>
        <v>0</v>
      </c>
    </row>
    <row r="47" spans="1:75">
      <c r="B47" s="1" t="s">
        <v>122</v>
      </c>
      <c r="I47" s="1" t="s">
        <v>123</v>
      </c>
      <c r="AD47" s="1" t="s">
        <v>124</v>
      </c>
    </row>
    <row r="48" spans="1:75">
      <c r="A48" s="1" t="s">
        <v>125</v>
      </c>
      <c r="B48" s="1" t="s">
        <v>126</v>
      </c>
      <c r="C48" s="7" t="s">
        <v>37</v>
      </c>
      <c r="D48" s="7" t="s">
        <v>37</v>
      </c>
      <c r="E48" s="7" t="s">
        <v>37</v>
      </c>
      <c r="F48" s="7" t="s">
        <v>37</v>
      </c>
      <c r="G48" s="1" t="s">
        <v>77</v>
      </c>
      <c r="J48" s="1" t="s">
        <v>127</v>
      </c>
      <c r="L48" s="1" t="s">
        <v>128</v>
      </c>
      <c r="O48" s="1" t="s">
        <v>129</v>
      </c>
      <c r="R48" s="1" t="s">
        <v>130</v>
      </c>
      <c r="AA48" s="1" t="s">
        <v>125</v>
      </c>
      <c r="AC48" s="1" t="s">
        <v>131</v>
      </c>
      <c r="AF48" s="1" t="s">
        <v>128</v>
      </c>
      <c r="AI48" s="1" t="s">
        <v>129</v>
      </c>
      <c r="AL48" s="1" t="s">
        <v>132</v>
      </c>
      <c r="BG48" s="6">
        <f>IF($BI48+$BI50+$BJ49+$BH49&gt;0,99999,0)</f>
        <v>0</v>
      </c>
      <c r="BH48" s="6">
        <f>$BG$48</f>
        <v>0</v>
      </c>
      <c r="BI48" s="6">
        <f>IF(AF36&lt;0,ABS(AF36),0)</f>
        <v>0</v>
      </c>
      <c r="BJ48" s="6">
        <f>$BG$48</f>
        <v>0</v>
      </c>
      <c r="BK48" s="6">
        <f>$BG$48</f>
        <v>0</v>
      </c>
      <c r="BM48" s="6">
        <f>IF($BO48+$BO50+$BN49+$BP49&gt;0,99999,0)</f>
        <v>0</v>
      </c>
      <c r="BN48" s="6">
        <f>$BM$48</f>
        <v>0</v>
      </c>
      <c r="BO48" s="6">
        <f>IF(AF35&lt;0,ABS(AF35),0)</f>
        <v>0</v>
      </c>
      <c r="BP48" s="6">
        <f>$BM$48</f>
        <v>0</v>
      </c>
      <c r="BQ48" s="6">
        <f>$BM$48</f>
        <v>0</v>
      </c>
      <c r="BS48" s="6">
        <f>IF($BU48+$BU50+$BT49+$BV49&gt;0,99999,0)</f>
        <v>0</v>
      </c>
      <c r="BT48" s="6">
        <f>$BS$48</f>
        <v>0</v>
      </c>
      <c r="BU48" s="6">
        <f>IF(AF34&lt;0,ABS(AF34),0)</f>
        <v>0</v>
      </c>
      <c r="BV48" s="6">
        <f>$BS$48</f>
        <v>0</v>
      </c>
      <c r="BW48" s="6">
        <f>$BS$48</f>
        <v>0</v>
      </c>
    </row>
    <row r="49" spans="1:75">
      <c r="A49" s="1" t="s">
        <v>133</v>
      </c>
      <c r="B49" s="4" t="s">
        <v>134</v>
      </c>
      <c r="C49" s="1" t="s">
        <v>135</v>
      </c>
      <c r="E49" s="4" t="s">
        <v>136</v>
      </c>
      <c r="F49" s="1" t="s">
        <v>137</v>
      </c>
      <c r="H49" s="1" t="s">
        <v>138</v>
      </c>
      <c r="J49" s="1" t="s">
        <v>139</v>
      </c>
      <c r="L49" s="4" t="s">
        <v>140</v>
      </c>
      <c r="M49" s="1" t="s">
        <v>68</v>
      </c>
      <c r="O49" s="4" t="s">
        <v>140</v>
      </c>
      <c r="P49" s="1" t="s">
        <v>68</v>
      </c>
      <c r="R49" s="4" t="s">
        <v>140</v>
      </c>
      <c r="S49" s="1" t="s">
        <v>68</v>
      </c>
      <c r="AA49" s="1" t="s">
        <v>133</v>
      </c>
      <c r="AB49" s="4" t="s">
        <v>52</v>
      </c>
      <c r="AC49" s="1" t="s">
        <v>141</v>
      </c>
      <c r="AF49" s="4" t="s">
        <v>140</v>
      </c>
      <c r="AG49" s="1" t="s">
        <v>68</v>
      </c>
      <c r="AI49" s="4" t="s">
        <v>140</v>
      </c>
      <c r="AJ49" s="1" t="s">
        <v>68</v>
      </c>
      <c r="AL49" s="4" t="s">
        <v>140</v>
      </c>
      <c r="AM49" s="4" t="s">
        <v>136</v>
      </c>
      <c r="AN49" s="4" t="s">
        <v>63</v>
      </c>
      <c r="BG49" s="6">
        <f>$BG$48</f>
        <v>0</v>
      </c>
      <c r="BH49" s="6">
        <f>IF(AG36&gt;0,ABS(AG36),0)</f>
        <v>0</v>
      </c>
      <c r="BI49" s="8" t="s">
        <v>103</v>
      </c>
      <c r="BJ49" s="6">
        <f>IF(AG36&lt;0,ABS(AG36),0)</f>
        <v>0</v>
      </c>
      <c r="BK49" s="6">
        <f>$BG$48</f>
        <v>0</v>
      </c>
      <c r="BM49" s="6">
        <f>$BM$48</f>
        <v>0</v>
      </c>
      <c r="BN49" s="6">
        <f>IF(AG35&lt;0,ABS(AG35),0)</f>
        <v>0</v>
      </c>
      <c r="BO49" s="8" t="s">
        <v>102</v>
      </c>
      <c r="BP49" s="6">
        <f>IF(AG35&gt;0,ABS(AG35),0)</f>
        <v>0</v>
      </c>
      <c r="BQ49" s="6">
        <f>$BM$48</f>
        <v>0</v>
      </c>
      <c r="BS49" s="6">
        <f>$BS$48</f>
        <v>0</v>
      </c>
      <c r="BT49" s="6">
        <f>IF(AG34&lt;0,ABS(AG34),0)</f>
        <v>0</v>
      </c>
      <c r="BU49" s="8" t="s">
        <v>101</v>
      </c>
      <c r="BV49" s="6">
        <f>IF(AG34&gt;0,ABS(AG34),0)</f>
        <v>0</v>
      </c>
      <c r="BW49" s="6">
        <f>$BS$48</f>
        <v>0</v>
      </c>
    </row>
    <row r="50" spans="1:75">
      <c r="A50" s="1" t="s">
        <v>72</v>
      </c>
      <c r="B50" s="4" t="s">
        <v>142</v>
      </c>
      <c r="C50" s="1" t="s">
        <v>143</v>
      </c>
      <c r="E50" s="4" t="s">
        <v>72</v>
      </c>
      <c r="F50" s="1" t="s">
        <v>144</v>
      </c>
      <c r="I50" s="1" t="s">
        <v>38</v>
      </c>
      <c r="J50" s="1" t="s">
        <v>145</v>
      </c>
      <c r="L50" s="4" t="s">
        <v>77</v>
      </c>
      <c r="M50" s="1" t="s">
        <v>146</v>
      </c>
      <c r="O50" s="4" t="s">
        <v>77</v>
      </c>
      <c r="P50" s="1" t="s">
        <v>146</v>
      </c>
      <c r="R50" s="4" t="s">
        <v>77</v>
      </c>
      <c r="S50" s="1" t="s">
        <v>146</v>
      </c>
      <c r="AA50" s="1" t="s">
        <v>72</v>
      </c>
      <c r="AB50" s="4" t="s">
        <v>38</v>
      </c>
      <c r="AC50" s="1" t="s">
        <v>147</v>
      </c>
      <c r="AF50" s="4" t="s">
        <v>77</v>
      </c>
      <c r="AG50" s="1" t="s">
        <v>146</v>
      </c>
      <c r="AI50" s="4" t="s">
        <v>77</v>
      </c>
      <c r="AJ50" s="1" t="s">
        <v>146</v>
      </c>
      <c r="AL50" s="4" t="s">
        <v>77</v>
      </c>
      <c r="AM50" s="4" t="s">
        <v>72</v>
      </c>
      <c r="AN50" s="1" t="s">
        <v>119</v>
      </c>
      <c r="BG50" s="6">
        <f>$BG$48</f>
        <v>0</v>
      </c>
      <c r="BH50" s="6">
        <f>$BG$48</f>
        <v>0</v>
      </c>
      <c r="BI50" s="6">
        <f>IF(AF36&gt;0,ABS(AF36),0)</f>
        <v>0</v>
      </c>
      <c r="BJ50" s="6">
        <f>$BG$48</f>
        <v>0</v>
      </c>
      <c r="BK50" s="6">
        <f>$BG$48</f>
        <v>0</v>
      </c>
      <c r="BM50" s="6">
        <f>$BM$48</f>
        <v>0</v>
      </c>
      <c r="BN50" s="6">
        <f>$BM$48</f>
        <v>0</v>
      </c>
      <c r="BO50" s="6">
        <f>IF(AF35&gt;0,ABS(AF35),0)</f>
        <v>0</v>
      </c>
      <c r="BP50" s="6">
        <f>$BM$48</f>
        <v>0</v>
      </c>
      <c r="BQ50" s="6">
        <f>$BM$48</f>
        <v>0</v>
      </c>
      <c r="BS50" s="6">
        <f>$BS$48</f>
        <v>0</v>
      </c>
      <c r="BT50" s="6">
        <f>$BS$48</f>
        <v>0</v>
      </c>
      <c r="BU50" s="6">
        <f>IF(AF34&gt;0,ABS(AF34),0)</f>
        <v>0</v>
      </c>
      <c r="BV50" s="6">
        <f>$BS$48</f>
        <v>0</v>
      </c>
      <c r="BW50" s="6">
        <f>$BS$48</f>
        <v>0</v>
      </c>
    </row>
    <row r="51" spans="1:75">
      <c r="A51" s="1" t="s">
        <v>148</v>
      </c>
      <c r="B51" s="10">
        <f>SQRT((B149-(B145+B146)/2)^2+(E149-(E145+E146)/2)^2)</f>
        <v>29.255562987531412</v>
      </c>
      <c r="C51" s="1" t="s">
        <v>149</v>
      </c>
      <c r="E51" s="10">
        <f>B51-29.347</f>
        <v>-9.1437012468588819E-2</v>
      </c>
      <c r="F51" s="9">
        <f>IF(ABS(E51)&gt;0.147,999999,0)</f>
        <v>0</v>
      </c>
      <c r="G51" s="1" t="s">
        <v>150</v>
      </c>
      <c r="I51" s="6">
        <v>27</v>
      </c>
      <c r="J51" s="1" t="s">
        <v>151</v>
      </c>
      <c r="L51" s="10">
        <f>ABS(+M20-M18)</f>
        <v>26.899209608100652</v>
      </c>
      <c r="M51" s="10">
        <f t="shared" ref="M51:M57" si="16">L51-$I51</f>
        <v>-0.10079039189934846</v>
      </c>
      <c r="N51" s="9">
        <f>IF(ABS(M51)&gt;0.135,99999,0)</f>
        <v>0</v>
      </c>
      <c r="O51" s="10">
        <f>ABS(+M19-M17)</f>
        <v>26.88219979828224</v>
      </c>
      <c r="P51" s="10">
        <f t="shared" ref="P51:P57" si="17">O51-$I51</f>
        <v>-0.11780020171775973</v>
      </c>
      <c r="Q51" s="9">
        <f>IF(ABS(P51)&gt;0.135,99999,0)</f>
        <v>0</v>
      </c>
      <c r="R51" s="10">
        <f>ABS(+M21-(M17+M18)/2)</f>
        <v>26.909593190364159</v>
      </c>
      <c r="S51" s="10">
        <f t="shared" ref="S51:S57" si="18">R51-$I51</f>
        <v>-9.0406809635840801E-2</v>
      </c>
      <c r="T51" s="9">
        <f>IF(ABS(S51)&gt;0.135,99999,0)</f>
        <v>0</v>
      </c>
      <c r="AA51" s="1" t="s">
        <v>148</v>
      </c>
      <c r="AB51" s="6">
        <v>27</v>
      </c>
      <c r="AC51" s="1" t="s">
        <v>152</v>
      </c>
      <c r="AF51" s="10">
        <f>ABS(+AF115-AF113)</f>
        <v>26.899209608100652</v>
      </c>
      <c r="AG51" s="10">
        <f t="shared" ref="AG51:AG57" si="19">AF51-$AB51</f>
        <v>-0.10079039189934846</v>
      </c>
      <c r="AH51" s="9">
        <f>IF(ABS(AG51)&gt;0.135,99999,0)</f>
        <v>0</v>
      </c>
      <c r="AI51" s="10">
        <f>ABS(+AF114-AF112)</f>
        <v>26.88219979828224</v>
      </c>
      <c r="AJ51" s="10">
        <f t="shared" ref="AJ51:AJ57" si="20">AI51-$AB51</f>
        <v>-0.11780020171775973</v>
      </c>
      <c r="AK51" s="9">
        <f>IF(ABS(AJ51)&gt;0.135,99999,0)</f>
        <v>0</v>
      </c>
      <c r="AL51" s="10">
        <f>ABS(+AF116-(AF112+AF113)/2)</f>
        <v>26.909593190364159</v>
      </c>
      <c r="AM51" s="10">
        <f t="shared" ref="AM51:AM57" si="21">AL51-$AB51</f>
        <v>-9.0406809635840801E-2</v>
      </c>
      <c r="AN51" s="9">
        <f>IF(ABS(AM51)&gt;0.135,99999,0)</f>
        <v>0</v>
      </c>
    </row>
    <row r="52" spans="1:75">
      <c r="A52" s="1" t="s">
        <v>153</v>
      </c>
      <c r="B52" s="10">
        <f>SQRT((B150-B149)^2+(E150-E149)^2)</f>
        <v>47.07298182630489</v>
      </c>
      <c r="C52" s="1" t="s">
        <v>154</v>
      </c>
      <c r="E52" s="10">
        <f>B52-47.011</f>
        <v>6.1981826304887022E-2</v>
      </c>
      <c r="F52" s="9">
        <f>IF(ABS(E52)&gt;0.235,999999,0)</f>
        <v>0</v>
      </c>
      <c r="G52" s="1" t="s">
        <v>155</v>
      </c>
      <c r="I52" s="6">
        <v>41</v>
      </c>
      <c r="J52" s="1" t="s">
        <v>156</v>
      </c>
      <c r="L52" s="10">
        <f>ABS(+M24-M20)</f>
        <v>41.142272945173872</v>
      </c>
      <c r="M52" s="10">
        <f t="shared" si="16"/>
        <v>0.14227294517387179</v>
      </c>
      <c r="N52" s="9">
        <f>IF(ABS(M52)&gt;0.205,99999,0)</f>
        <v>0</v>
      </c>
      <c r="O52" s="10">
        <f>ABS(+M23-M19)</f>
        <v>41.127770468557202</v>
      </c>
      <c r="P52" s="10">
        <f t="shared" si="17"/>
        <v>0.12777046855720187</v>
      </c>
      <c r="Q52" s="9">
        <f>IF(ABS(P52)&gt;0.205,99999,0)</f>
        <v>0</v>
      </c>
      <c r="R52" s="10">
        <f>ABS(+M22-M21)</f>
        <v>41.109170891866178</v>
      </c>
      <c r="S52" s="10">
        <f t="shared" si="18"/>
        <v>0.10917089186617801</v>
      </c>
      <c r="T52" s="9">
        <f>IF(ABS(S52)&gt;0.205,99999,0)</f>
        <v>0</v>
      </c>
      <c r="AA52" s="1" t="s">
        <v>157</v>
      </c>
      <c r="AB52" s="6">
        <v>41</v>
      </c>
      <c r="AC52" s="1" t="s">
        <v>158</v>
      </c>
      <c r="AF52" s="10">
        <f>ABS(+AF119-AF115)</f>
        <v>41.142272945173872</v>
      </c>
      <c r="AG52" s="10">
        <f t="shared" si="19"/>
        <v>0.14227294517387179</v>
      </c>
      <c r="AH52" s="9">
        <f>IF(ABS(AG52)&gt;0.205,99999,0)</f>
        <v>0</v>
      </c>
      <c r="AI52" s="10">
        <f>ABS(+AF118-AF114)</f>
        <v>41.127770468557202</v>
      </c>
      <c r="AJ52" s="10">
        <f t="shared" si="20"/>
        <v>0.12777046855720187</v>
      </c>
      <c r="AK52" s="9">
        <f>IF(ABS(AJ52)&gt;0.205,99999,0)</f>
        <v>0</v>
      </c>
      <c r="AL52" s="10">
        <f>ABS(+AF117-AF116)</f>
        <v>41.109170891866178</v>
      </c>
      <c r="AM52" s="10">
        <f t="shared" si="21"/>
        <v>0.10917089186617801</v>
      </c>
      <c r="AN52" s="9">
        <f>IF(ABS(AM52)&gt;0.205,99999,0)</f>
        <v>0</v>
      </c>
    </row>
    <row r="53" spans="1:75">
      <c r="A53" s="1" t="s">
        <v>159</v>
      </c>
      <c r="B53" s="10">
        <f>SQRT((B155-B150)^2+(E155-E150)^2)</f>
        <v>47.144157431616392</v>
      </c>
      <c r="C53" s="1" t="s">
        <v>154</v>
      </c>
      <c r="E53" s="10">
        <f>B53-47.011</f>
        <v>0.13315743161638949</v>
      </c>
      <c r="F53" s="9">
        <f>IF(ABS(E53)&gt;0.235,999999,0)</f>
        <v>0</v>
      </c>
      <c r="G53" s="1" t="s">
        <v>155</v>
      </c>
      <c r="I53" s="6">
        <v>41</v>
      </c>
      <c r="J53" s="1" t="s">
        <v>156</v>
      </c>
      <c r="L53" s="10">
        <f>ABS(+M26-M24)</f>
        <v>41.161687361877313</v>
      </c>
      <c r="M53" s="10">
        <f t="shared" si="16"/>
        <v>0.1616873618773127</v>
      </c>
      <c r="N53" s="9">
        <f>IF(ABS(M53)&gt;0.205,99999,0)</f>
        <v>0</v>
      </c>
      <c r="O53" s="10">
        <f>ABS(+M25-M23)</f>
        <v>41.172113655178151</v>
      </c>
      <c r="P53" s="10">
        <f t="shared" si="17"/>
        <v>0.17211365517815125</v>
      </c>
      <c r="Q53" s="9">
        <f>IF(ABS(P53)&gt;0.205,99999,0)</f>
        <v>0</v>
      </c>
      <c r="R53" s="10">
        <f>ABS(+M27-M22)</f>
        <v>41.143692827622729</v>
      </c>
      <c r="S53" s="10">
        <f t="shared" si="18"/>
        <v>0.14369282762272917</v>
      </c>
      <c r="T53" s="9">
        <f>IF(ABS(S53)&gt;0.205,99999,0)</f>
        <v>0</v>
      </c>
      <c r="AA53" s="1" t="s">
        <v>160</v>
      </c>
      <c r="AB53" s="6">
        <v>41</v>
      </c>
      <c r="AC53" s="1" t="s">
        <v>158</v>
      </c>
      <c r="AF53" s="10">
        <f>ABS(+AF121-AF119)</f>
        <v>41.161687361877313</v>
      </c>
      <c r="AG53" s="10">
        <f t="shared" si="19"/>
        <v>0.1616873618773127</v>
      </c>
      <c r="AH53" s="9">
        <f>IF(ABS(AG53)&gt;0.205,99999,0)</f>
        <v>0</v>
      </c>
      <c r="AI53" s="10">
        <f>ABS(+AF120-AF118)</f>
        <v>41.172113655178151</v>
      </c>
      <c r="AJ53" s="10">
        <f t="shared" si="20"/>
        <v>0.17211365517815125</v>
      </c>
      <c r="AK53" s="9">
        <f>IF(ABS(AJ53)&gt;0.205,99999,0)</f>
        <v>0</v>
      </c>
      <c r="AL53" s="10">
        <f>ABS(+AF122-AF117)</f>
        <v>41.143692827622729</v>
      </c>
      <c r="AM53" s="10">
        <f t="shared" si="21"/>
        <v>0.14369282762272917</v>
      </c>
      <c r="AN53" s="9">
        <f>IF(ABS(AM53)&gt;0.205,99999,0)</f>
        <v>0</v>
      </c>
      <c r="BG53" s="6">
        <f>IF($BI53+$BI55+$BJ54+$BH54&gt;0,99999,0)</f>
        <v>0</v>
      </c>
      <c r="BH53" s="6">
        <f>$BG$53</f>
        <v>0</v>
      </c>
      <c r="BI53" s="6">
        <f>IF(AF38&lt;0,ABS(AF38),0)</f>
        <v>0</v>
      </c>
      <c r="BJ53" s="6">
        <f>$BG$53</f>
        <v>0</v>
      </c>
      <c r="BK53" s="6">
        <f>$BG$53</f>
        <v>0</v>
      </c>
      <c r="BM53" s="6">
        <f>IF($BO53+$BO55+$BN54+$BP54&gt;0,99999,0)</f>
        <v>0</v>
      </c>
      <c r="BN53" s="6">
        <f>$BM$53</f>
        <v>0</v>
      </c>
      <c r="BO53" s="6">
        <f>IF(AF37&lt;0,ABS(AF37),0)</f>
        <v>0</v>
      </c>
      <c r="BP53" s="6">
        <f>$BM$53</f>
        <v>0</v>
      </c>
      <c r="BQ53" s="6">
        <f>$BM$53</f>
        <v>0</v>
      </c>
    </row>
    <row r="54" spans="1:75">
      <c r="A54" s="1" t="s">
        <v>161</v>
      </c>
      <c r="B54" s="10">
        <f>SQRT((B156-B155)^2+(E156-E155)^2)</f>
        <v>47.0518080993984</v>
      </c>
      <c r="C54" s="1" t="s">
        <v>154</v>
      </c>
      <c r="E54" s="10">
        <f>B54-47.011</f>
        <v>4.0808099398397246E-2</v>
      </c>
      <c r="F54" s="9">
        <f>IF(ABS(E54)&gt;0.235,999999,0)</f>
        <v>0</v>
      </c>
      <c r="G54" s="1" t="s">
        <v>155</v>
      </c>
      <c r="I54" s="6">
        <v>41</v>
      </c>
      <c r="J54" s="1" t="s">
        <v>156</v>
      </c>
      <c r="L54" s="10">
        <f>ABS(+M30-M26)</f>
        <v>41.134196702556451</v>
      </c>
      <c r="M54" s="10">
        <f t="shared" si="16"/>
        <v>0.13419670255645144</v>
      </c>
      <c r="N54" s="9">
        <f>IF(ABS(M54)&gt;0.205,99999,0)</f>
        <v>0</v>
      </c>
      <c r="O54" s="10">
        <f>ABS(+M29-M25)</f>
        <v>41.123856391678345</v>
      </c>
      <c r="P54" s="10">
        <f t="shared" si="17"/>
        <v>0.12385639167834483</v>
      </c>
      <c r="Q54" s="9">
        <f>IF(ABS(P54)&gt;0.205,99999,0)</f>
        <v>0</v>
      </c>
      <c r="R54" s="10">
        <f>ABS(+M28-M27)</f>
        <v>41.047010193034097</v>
      </c>
      <c r="S54" s="10">
        <f t="shared" si="18"/>
        <v>4.7010193034097369E-2</v>
      </c>
      <c r="T54" s="9">
        <f>IF(ABS(S54)&gt;0.205,99999,0)</f>
        <v>0</v>
      </c>
      <c r="AA54" s="1" t="s">
        <v>162</v>
      </c>
      <c r="AB54" s="6">
        <v>41</v>
      </c>
      <c r="AC54" s="1" t="s">
        <v>158</v>
      </c>
      <c r="AF54" s="10">
        <f>ABS(+AF125-AF121)</f>
        <v>41.134196702556451</v>
      </c>
      <c r="AG54" s="10">
        <f t="shared" si="19"/>
        <v>0.13419670255645144</v>
      </c>
      <c r="AH54" s="9">
        <f>IF(ABS(AG54)&gt;0.205,99999,0)</f>
        <v>0</v>
      </c>
      <c r="AI54" s="10">
        <f>ABS(+AF124-AF120)</f>
        <v>41.123856391678345</v>
      </c>
      <c r="AJ54" s="10">
        <f t="shared" si="20"/>
        <v>0.12385639167834483</v>
      </c>
      <c r="AK54" s="9">
        <f>IF(ABS(AJ54)&gt;0.205,99999,0)</f>
        <v>0</v>
      </c>
      <c r="AL54" s="10">
        <f>ABS(+AF123-AF122)</f>
        <v>41.047010193034097</v>
      </c>
      <c r="AM54" s="10">
        <f t="shared" si="21"/>
        <v>4.7010193034097369E-2</v>
      </c>
      <c r="AN54" s="9">
        <f>IF(ABS(AM54)&gt;0.205,99999,0)</f>
        <v>0</v>
      </c>
      <c r="BG54" s="6">
        <f>$BG$53</f>
        <v>0</v>
      </c>
      <c r="BH54" s="6">
        <f>IF(AG38&gt;0,ABS(AG38),0)</f>
        <v>0</v>
      </c>
      <c r="BI54" s="8" t="s">
        <v>105</v>
      </c>
      <c r="BJ54" s="6">
        <f>IF(AG38&lt;0,ABS(AG38),0)</f>
        <v>0</v>
      </c>
      <c r="BK54" s="6">
        <f>$BG$53</f>
        <v>0</v>
      </c>
      <c r="BM54" s="6">
        <f>$BM$53</f>
        <v>0</v>
      </c>
      <c r="BN54" s="6">
        <f>IF(AG37&lt;0,ABS(AG37),0)</f>
        <v>0</v>
      </c>
      <c r="BO54" s="8" t="s">
        <v>104</v>
      </c>
      <c r="BP54" s="6">
        <f>IF(AG37&gt;0,ABS(AG37),0)</f>
        <v>0</v>
      </c>
      <c r="BQ54" s="6">
        <f>$BM$53</f>
        <v>0</v>
      </c>
    </row>
    <row r="55" spans="1:75">
      <c r="A55" s="1" t="s">
        <v>163</v>
      </c>
      <c r="B55" s="10">
        <f>SQRT((B161-B156)^2+(E161-E156)^2)</f>
        <v>46.964631787733872</v>
      </c>
      <c r="C55" s="1" t="s">
        <v>154</v>
      </c>
      <c r="E55" s="10">
        <f>B55-47.011</f>
        <v>-4.6368212266131081E-2</v>
      </c>
      <c r="F55" s="9">
        <f>IF(ABS(E55)&gt;0.235,999999,0)</f>
        <v>0</v>
      </c>
      <c r="G55" s="1" t="s">
        <v>155</v>
      </c>
      <c r="I55" s="6">
        <v>41</v>
      </c>
      <c r="J55" s="1" t="s">
        <v>156</v>
      </c>
      <c r="L55" s="10">
        <f>ABS(+M32-M30)</f>
        <v>40.797479029999238</v>
      </c>
      <c r="M55" s="10">
        <f t="shared" si="16"/>
        <v>-0.20252097000076219</v>
      </c>
      <c r="N55" s="9">
        <f>IF(ABS(M55)&gt;0.205,99999,0)</f>
        <v>0</v>
      </c>
      <c r="O55" s="10">
        <f>ABS(+M31-M29)</f>
        <v>40.820970903951888</v>
      </c>
      <c r="P55" s="10">
        <f t="shared" si="17"/>
        <v>-0.17902909604811157</v>
      </c>
      <c r="Q55" s="9">
        <f>IF(ABS(P55)&gt;0.205,99999,0)</f>
        <v>0</v>
      </c>
      <c r="R55" s="10">
        <f>ABS(+M33-M28)</f>
        <v>40.949161514995183</v>
      </c>
      <c r="S55" s="10">
        <f t="shared" si="18"/>
        <v>-5.0838485004817358E-2</v>
      </c>
      <c r="T55" s="9">
        <f>IF(ABS(S55)&gt;0.205,99999,0)</f>
        <v>0</v>
      </c>
      <c r="AA55" s="1" t="s">
        <v>164</v>
      </c>
      <c r="AB55" s="6">
        <v>41</v>
      </c>
      <c r="AC55" s="1" t="s">
        <v>158</v>
      </c>
      <c r="AF55" s="10">
        <f>ABS(+AF127-AF125)</f>
        <v>40.797479029999238</v>
      </c>
      <c r="AG55" s="10">
        <f t="shared" si="19"/>
        <v>-0.20252097000076219</v>
      </c>
      <c r="AH55" s="9">
        <f>IF(ABS(AG55)&gt;0.205,99999,0)</f>
        <v>0</v>
      </c>
      <c r="AI55" s="10">
        <f>ABS(+AF126-AF124)</f>
        <v>40.820970903951888</v>
      </c>
      <c r="AJ55" s="10">
        <f t="shared" si="20"/>
        <v>-0.17902909604811157</v>
      </c>
      <c r="AK55" s="9">
        <f>IF(ABS(AJ55)&gt;0.205,99999,0)</f>
        <v>0</v>
      </c>
      <c r="AL55" s="10">
        <f>ABS(+AF128-AF123)</f>
        <v>40.949161514995183</v>
      </c>
      <c r="AM55" s="10">
        <f t="shared" si="21"/>
        <v>-5.0838485004817358E-2</v>
      </c>
      <c r="AN55" s="9">
        <f>IF(ABS(AM55)&gt;0.205,99999,0)</f>
        <v>0</v>
      </c>
      <c r="BG55" s="6">
        <f>$BG$53</f>
        <v>0</v>
      </c>
      <c r="BH55" s="6">
        <f>$BG$53</f>
        <v>0</v>
      </c>
      <c r="BI55" s="6">
        <f>IF(AF38&gt;0,ABS(AF38),0)</f>
        <v>0</v>
      </c>
      <c r="BJ55" s="6">
        <f>$BG$53</f>
        <v>0</v>
      </c>
      <c r="BK55" s="6">
        <f>$BG$53</f>
        <v>0</v>
      </c>
      <c r="BM55" s="6">
        <f>$BM$53</f>
        <v>0</v>
      </c>
      <c r="BN55" s="6">
        <f>$BM$53</f>
        <v>0</v>
      </c>
      <c r="BO55" s="6">
        <f>IF(AF37&gt;0,ABS(AF37),0)</f>
        <v>0</v>
      </c>
      <c r="BP55" s="6">
        <f>$BM$53</f>
        <v>0</v>
      </c>
      <c r="BQ55" s="6">
        <f>$BM$53</f>
        <v>0</v>
      </c>
    </row>
    <row r="56" spans="1:75">
      <c r="A56" s="1" t="s">
        <v>165</v>
      </c>
      <c r="B56" s="10">
        <f>SQRT((B162-B161)^2+(E162-E161)^2)</f>
        <v>47.002239591157299</v>
      </c>
      <c r="C56" s="1" t="s">
        <v>154</v>
      </c>
      <c r="E56" s="10">
        <f>B56-47.011</f>
        <v>-8.760408842704237E-3</v>
      </c>
      <c r="F56" s="9">
        <f>IF(ABS(E56)&gt;0.235,999999,0)</f>
        <v>0</v>
      </c>
      <c r="G56" s="1" t="s">
        <v>155</v>
      </c>
      <c r="I56" s="6">
        <v>41</v>
      </c>
      <c r="J56" s="1" t="s">
        <v>156</v>
      </c>
      <c r="L56" s="10">
        <f>ABS(+M36-M32)</f>
        <v>41.050334699672476</v>
      </c>
      <c r="M56" s="10">
        <f t="shared" si="16"/>
        <v>5.0334699672475836E-2</v>
      </c>
      <c r="N56" s="9">
        <f>IF(ABS(M56)&gt;0.205,99999,0)</f>
        <v>0</v>
      </c>
      <c r="O56" s="10">
        <f>ABS(+M35-M31)</f>
        <v>41.045337702982209</v>
      </c>
      <c r="P56" s="10">
        <f t="shared" si="17"/>
        <v>4.5337702982209294E-2</v>
      </c>
      <c r="Q56" s="9">
        <f>IF(ABS(P56)&gt;0.205,99999,0)</f>
        <v>0</v>
      </c>
      <c r="R56" s="10">
        <f>ABS(+M34-M33)</f>
        <v>41.017147292999312</v>
      </c>
      <c r="S56" s="10">
        <f t="shared" si="18"/>
        <v>1.7147292999311503E-2</v>
      </c>
      <c r="T56" s="9">
        <f>IF(ABS(S56)&gt;0.205,99999,0)</f>
        <v>0</v>
      </c>
      <c r="AA56" s="1" t="s">
        <v>166</v>
      </c>
      <c r="AB56" s="6">
        <v>41</v>
      </c>
      <c r="AC56" s="1" t="s">
        <v>158</v>
      </c>
      <c r="AF56" s="10">
        <f>ABS(+AF131-AF127)</f>
        <v>41.050334699672476</v>
      </c>
      <c r="AG56" s="10">
        <f t="shared" si="19"/>
        <v>5.0334699672475836E-2</v>
      </c>
      <c r="AH56" s="9">
        <f>IF(ABS(AG56)&gt;0.205,99999,0)</f>
        <v>0</v>
      </c>
      <c r="AI56" s="10">
        <f>ABS(+AF130-AF126)</f>
        <v>41.045337702982209</v>
      </c>
      <c r="AJ56" s="10">
        <f t="shared" si="20"/>
        <v>4.5337702982209294E-2</v>
      </c>
      <c r="AK56" s="9">
        <f>IF(ABS(AJ56)&gt;0.205,99999,0)</f>
        <v>0</v>
      </c>
      <c r="AL56" s="10">
        <f>ABS(+AF129-AF128)</f>
        <v>41.017147292999312</v>
      </c>
      <c r="AM56" s="10">
        <f t="shared" si="21"/>
        <v>1.7147292999311503E-2</v>
      </c>
      <c r="AN56" s="9">
        <f>IF(ABS(AM56)&gt;0.205,99999,0)</f>
        <v>0</v>
      </c>
    </row>
    <row r="57" spans="1:75">
      <c r="A57" s="1" t="s">
        <v>167</v>
      </c>
      <c r="B57" s="10">
        <f>SQRT(((B165+B166)/2-B162)^2+((E165+E166)/2-E162)^2)</f>
        <v>29.422692859226132</v>
      </c>
      <c r="C57" s="1" t="s">
        <v>149</v>
      </c>
      <c r="E57" s="10">
        <f>B57-29.347</f>
        <v>7.5692859226130338E-2</v>
      </c>
      <c r="F57" s="9">
        <f>IF(ABS(E57)&gt;0.147,999999,0)</f>
        <v>0</v>
      </c>
      <c r="G57" s="1" t="s">
        <v>150</v>
      </c>
      <c r="I57" s="6">
        <v>27</v>
      </c>
      <c r="J57" s="1" t="s">
        <v>151</v>
      </c>
      <c r="L57" s="10">
        <f>ABS(+M38-M36)</f>
        <v>27.079271376074502</v>
      </c>
      <c r="M57" s="10">
        <f t="shared" si="16"/>
        <v>7.9271376074501632E-2</v>
      </c>
      <c r="N57" s="9">
        <f>IF(ABS(M57)&gt;0.135,99999,0)</f>
        <v>0</v>
      </c>
      <c r="O57" s="10">
        <f>ABS(+M37-M35)</f>
        <v>27.101759851045017</v>
      </c>
      <c r="P57" s="10">
        <f t="shared" si="17"/>
        <v>0.10175985104501706</v>
      </c>
      <c r="Q57" s="9">
        <f>IF(ABS(P57)&gt;0.135,99999,0)</f>
        <v>0</v>
      </c>
      <c r="R57" s="10">
        <f>ABS((M37+M38)/2-M34)</f>
        <v>27.093454336683124</v>
      </c>
      <c r="S57" s="10">
        <f t="shared" si="18"/>
        <v>9.3454336683123529E-2</v>
      </c>
      <c r="T57" s="9">
        <f>IF(ABS(S57)&gt;0.135,99999,0)</f>
        <v>0</v>
      </c>
      <c r="AA57" s="1" t="s">
        <v>167</v>
      </c>
      <c r="AB57" s="6">
        <v>27</v>
      </c>
      <c r="AC57" s="1" t="s">
        <v>152</v>
      </c>
      <c r="AF57" s="10">
        <f>ABS(+AF133-AF131)</f>
        <v>27.079271376074502</v>
      </c>
      <c r="AG57" s="10">
        <f t="shared" si="19"/>
        <v>7.9271376074501632E-2</v>
      </c>
      <c r="AH57" s="9">
        <f>IF(ABS(AG57)&gt;0.135,99999,0)</f>
        <v>0</v>
      </c>
      <c r="AI57" s="10">
        <f>ABS(+AF132-AF130)</f>
        <v>27.101759851045017</v>
      </c>
      <c r="AJ57" s="10">
        <f t="shared" si="20"/>
        <v>0.10175985104501706</v>
      </c>
      <c r="AK57" s="9">
        <f>IF(ABS(AJ57)&gt;0.135,99999,0)</f>
        <v>0</v>
      </c>
      <c r="AL57" s="10">
        <f>ABS((AF132+AF133)/2-AF129)</f>
        <v>27.093454336683124</v>
      </c>
      <c r="AM57" s="10">
        <f t="shared" si="21"/>
        <v>9.3454336683123529E-2</v>
      </c>
      <c r="AN57" s="9">
        <f>IF(ABS(AM57)&gt;0.135,99999,0)</f>
        <v>0</v>
      </c>
    </row>
    <row r="58" spans="1:75">
      <c r="BG58" s="6">
        <f>IF($BI58+$BI60+$BJ59+$BH59&gt;0,99999,0)</f>
        <v>0</v>
      </c>
      <c r="BH58" s="6">
        <f>$BG$58</f>
        <v>0</v>
      </c>
      <c r="BI58" s="6">
        <f>IF(AF40&lt;0,ABS(AF40),0)</f>
        <v>0</v>
      </c>
      <c r="BJ58" s="6">
        <f>$BG$58</f>
        <v>0</v>
      </c>
      <c r="BK58" s="6">
        <f>$BG$58</f>
        <v>0</v>
      </c>
      <c r="BM58" s="6">
        <f>IF($BO58+$BO60+$BN59+$BP59&gt;0,99999,0)</f>
        <v>0</v>
      </c>
      <c r="BN58" s="6">
        <f>$BM$58</f>
        <v>0</v>
      </c>
      <c r="BO58" s="6">
        <f>IF(AF39&lt;0,ABS(AF39),0)</f>
        <v>0</v>
      </c>
      <c r="BP58" s="6">
        <f>$BM$58</f>
        <v>0</v>
      </c>
      <c r="BQ58" s="6">
        <f>$BM$58</f>
        <v>0</v>
      </c>
    </row>
    <row r="59" spans="1:75">
      <c r="D59" s="1" t="s">
        <v>168</v>
      </c>
      <c r="I59" s="6">
        <v>55</v>
      </c>
      <c r="J59" s="1" t="s">
        <v>169</v>
      </c>
      <c r="L59" s="10">
        <f>IF(C74=0,0,ABS(M18-M16))</f>
        <v>54.886614078653551</v>
      </c>
      <c r="M59" s="10">
        <f>IF(C74=0,0,+L59-$I59)</f>
        <v>-0.11338592134644898</v>
      </c>
      <c r="N59" s="9">
        <f>IF(ABS(M59)&gt;0.275,99999,0)</f>
        <v>0</v>
      </c>
      <c r="O59" s="10">
        <f>IF(C73=0,0,ABS(M17-M15))</f>
        <v>54.884320523575532</v>
      </c>
      <c r="P59" s="10">
        <f>IF(C73=0,0,+O59-$I59)</f>
        <v>-0.11567947642446796</v>
      </c>
      <c r="Q59" s="9">
        <f>IF(ABS(P59)&gt;0.275,99999,0)</f>
        <v>0</v>
      </c>
      <c r="R59" s="1" t="s">
        <v>170</v>
      </c>
      <c r="AA59" s="1" t="s">
        <v>171</v>
      </c>
      <c r="AF59" s="10">
        <f>IF(C74=0,0,ABS(AF113-AF111))</f>
        <v>54.886614078653551</v>
      </c>
      <c r="AG59" s="10">
        <f>IF(C74=0,0,+AF59-$I59)</f>
        <v>-0.11338592134644898</v>
      </c>
      <c r="AH59" s="9">
        <f>IF(ABS(AG59)&gt;0.275,99999,0)</f>
        <v>0</v>
      </c>
      <c r="AI59" s="10">
        <f>IF(C73=0,0,ABS(AF112-AF110))</f>
        <v>54.884320523575532</v>
      </c>
      <c r="AJ59" s="10">
        <f>IF(C73=0,0,+AI59-$I59)</f>
        <v>-0.11567947642446796</v>
      </c>
      <c r="AK59" s="9">
        <f>IF(ABS(AJ59)&gt;0.275,99999,0)</f>
        <v>0</v>
      </c>
      <c r="AL59" s="1" t="s">
        <v>170</v>
      </c>
      <c r="BG59" s="6">
        <f>$BG$58</f>
        <v>0</v>
      </c>
      <c r="BH59" s="6">
        <f>IF(AG40&gt;0,ABS(AG40),0)</f>
        <v>0</v>
      </c>
      <c r="BI59" s="8" t="s">
        <v>107</v>
      </c>
      <c r="BJ59" s="6">
        <f>IF(AG40&lt;0,ABS(AG40),0)</f>
        <v>0</v>
      </c>
      <c r="BK59" s="6">
        <f>$BG$58</f>
        <v>0</v>
      </c>
      <c r="BM59" s="6">
        <f>$BM$58</f>
        <v>0</v>
      </c>
      <c r="BN59" s="6">
        <f>IF(AG39&lt;0,ABS(AG39),0)</f>
        <v>0</v>
      </c>
      <c r="BO59" s="8" t="s">
        <v>106</v>
      </c>
      <c r="BP59" s="6">
        <f>IF(AG39&gt;0,ABS(AG39),0)</f>
        <v>0</v>
      </c>
      <c r="BQ59" s="6">
        <f>$BM$58</f>
        <v>0</v>
      </c>
    </row>
    <row r="60" spans="1:75">
      <c r="A60" s="1" t="s">
        <v>172</v>
      </c>
      <c r="D60" s="1" t="s">
        <v>173</v>
      </c>
      <c r="I60" s="6">
        <v>55</v>
      </c>
      <c r="J60" s="1" t="s">
        <v>169</v>
      </c>
      <c r="L60" s="10">
        <f>IF(C98=0,0,ABS(M40-M38))</f>
        <v>54.840396843400072</v>
      </c>
      <c r="M60" s="10">
        <f>IF(C98=0,0,+L60-$I60)</f>
        <v>-0.1596031565999283</v>
      </c>
      <c r="N60" s="9">
        <f>IF(ABS(M60)&gt;0.275,99999,0)</f>
        <v>0</v>
      </c>
      <c r="O60" s="10">
        <f>IF(C97=0,0,ABS(M39-M37))</f>
        <v>54.792949569949315</v>
      </c>
      <c r="P60" s="10">
        <f>IF(C97=0,0,+O60-$I60)</f>
        <v>-0.20705043005068546</v>
      </c>
      <c r="Q60" s="9">
        <f>IF(ABS(P60)&gt;0.275,99999,0)</f>
        <v>0</v>
      </c>
      <c r="R60" s="1" t="s">
        <v>174</v>
      </c>
      <c r="AA60" s="1" t="s">
        <v>175</v>
      </c>
      <c r="AF60" s="10">
        <f>IF(C98=0,0,ABS(AF135-AF133))</f>
        <v>54.840396843400072</v>
      </c>
      <c r="AG60" s="10">
        <f>IF(C98=0,0,+AF60-$I60)</f>
        <v>-0.1596031565999283</v>
      </c>
      <c r="AH60" s="9">
        <f>IF(ABS(AG60)&gt;0.275,99999,0)</f>
        <v>0</v>
      </c>
      <c r="AI60" s="10">
        <f>IF(C97=0,0,ABS(AF134-AF132))</f>
        <v>54.792949569949315</v>
      </c>
      <c r="AJ60" s="10">
        <f>IF(C97=0,0,+AI60-$I60)</f>
        <v>-0.20705043005068546</v>
      </c>
      <c r="AK60" s="9">
        <f>IF(ABS(AJ60)&gt;0.275,99999,0)</f>
        <v>0</v>
      </c>
      <c r="AL60" s="1" t="s">
        <v>174</v>
      </c>
      <c r="BG60" s="6">
        <f>$BG$58</f>
        <v>0</v>
      </c>
      <c r="BH60" s="6">
        <f>$BG$58</f>
        <v>0</v>
      </c>
      <c r="BI60" s="6">
        <f>IF(AF40&gt;0,ABS(AF40),0)</f>
        <v>0</v>
      </c>
      <c r="BJ60" s="6">
        <f>$BG$58</f>
        <v>0</v>
      </c>
      <c r="BK60" s="6">
        <f>$BG$58</f>
        <v>0</v>
      </c>
      <c r="BM60" s="6">
        <f>$BM$58</f>
        <v>0</v>
      </c>
      <c r="BN60" s="6">
        <f>$BM$58</f>
        <v>0</v>
      </c>
      <c r="BO60" s="6">
        <f>IF(AF39&gt;0,ABS(AF39),0)</f>
        <v>0</v>
      </c>
      <c r="BP60" s="6">
        <f>$BM$58</f>
        <v>0</v>
      </c>
      <c r="BQ60" s="6">
        <f>$BM$58</f>
        <v>0</v>
      </c>
    </row>
    <row r="61" spans="1:75">
      <c r="A61" s="1" t="s">
        <v>176</v>
      </c>
      <c r="D61" s="1" t="s">
        <v>177</v>
      </c>
      <c r="I61" s="6">
        <v>259</v>
      </c>
      <c r="J61" s="1" t="s">
        <v>178</v>
      </c>
      <c r="L61" s="11">
        <f>ABS(+M38-M18)</f>
        <v>259.2644517234545</v>
      </c>
      <c r="M61" s="10">
        <f>L61-$I61</f>
        <v>0.26445172345449919</v>
      </c>
      <c r="N61" s="9">
        <f>IF(ABS(M61)&gt;0.6475,99999,0)</f>
        <v>0</v>
      </c>
      <c r="O61" s="11">
        <f>ABS(+M37-M17)</f>
        <v>259.27400877167508</v>
      </c>
      <c r="P61" s="10">
        <f>O61-$I61</f>
        <v>0.27400877167508497</v>
      </c>
      <c r="Q61" s="9">
        <f>IF(ABS(P61)&gt;0.6475,99999,0)</f>
        <v>0</v>
      </c>
      <c r="R61" s="1" t="s">
        <v>179</v>
      </c>
      <c r="AA61" s="1" t="s">
        <v>180</v>
      </c>
      <c r="AF61" s="11">
        <f>ABS(+AF133-AF113)</f>
        <v>259.2644517234545</v>
      </c>
      <c r="AG61" s="10">
        <f>AF61-$I61</f>
        <v>0.26445172345449919</v>
      </c>
      <c r="AH61" s="9">
        <f>IF(ABS(AG61)&gt;0.6475,99999,0)</f>
        <v>0</v>
      </c>
      <c r="AI61" s="11">
        <f>ABS(+AF132-AF112)</f>
        <v>259.27400877167508</v>
      </c>
      <c r="AJ61" s="10">
        <f>AI61-$I61</f>
        <v>0.27400877167508497</v>
      </c>
      <c r="AK61" s="9">
        <f>IF(ABS(AJ61)&gt;0.6475,99999,0)</f>
        <v>0</v>
      </c>
      <c r="AL61" s="1" t="s">
        <v>179</v>
      </c>
    </row>
    <row r="62" spans="1:75">
      <c r="A62" s="6">
        <f ca="1">DAY(B62)</f>
        <v>5</v>
      </c>
      <c r="B62" s="14">
        <f ca="1">TRUNC(TRUNC(TRUNC(TRUNC(TRUNC(INT(NOW()))))))</f>
        <v>39938</v>
      </c>
      <c r="D62" s="1" t="s">
        <v>181</v>
      </c>
      <c r="H62" s="1" t="s">
        <v>182</v>
      </c>
      <c r="J62" s="1" t="s">
        <v>183</v>
      </c>
      <c r="L62" s="11">
        <f>ABS(+M38-M30)</f>
        <v>108.92708510574622</v>
      </c>
      <c r="M62" s="10">
        <f>L62-(L61*109/259)</f>
        <v>-0.18420924891223933</v>
      </c>
      <c r="N62" s="9">
        <f>IF(ABS(M62)&gt;0.2725,99999,0)</f>
        <v>0</v>
      </c>
      <c r="O62" s="11">
        <f>ABS(+M25-M17)</f>
        <v>109.1820839220176</v>
      </c>
      <c r="P62" s="10">
        <f>O62-(O61*109/259)</f>
        <v>6.6767489150478809E-2</v>
      </c>
      <c r="Q62" s="9">
        <f>IF(ABS(P62)&gt;0.2725,99999,0)</f>
        <v>0</v>
      </c>
      <c r="R62" s="1" t="s">
        <v>184</v>
      </c>
      <c r="AA62" s="1" t="s">
        <v>185</v>
      </c>
      <c r="AF62" s="11">
        <f>ABS(+AF133-AF125)</f>
        <v>108.92708510574622</v>
      </c>
      <c r="AG62" s="10">
        <f>AF62-(AF61*109/259)</f>
        <v>-0.18420924891223933</v>
      </c>
      <c r="AH62" s="9">
        <f>IF(ABS(AG62)&gt;0.2725,99999,0)</f>
        <v>0</v>
      </c>
      <c r="AI62" s="11">
        <f>ABS(+AF120-AF112)</f>
        <v>109.1820839220176</v>
      </c>
      <c r="AJ62" s="10">
        <f>AI62-(AI61*109/259)</f>
        <v>6.6767489150478809E-2</v>
      </c>
      <c r="AK62" s="9">
        <f>IF(ABS(AJ62)&gt;0.2725,99999,0)</f>
        <v>0</v>
      </c>
      <c r="AL62" s="1" t="s">
        <v>184</v>
      </c>
    </row>
    <row r="65" spans="1:39">
      <c r="M65" s="11"/>
      <c r="O65" s="11"/>
    </row>
    <row r="69" spans="1:39">
      <c r="AB69" s="1" t="s">
        <v>186</v>
      </c>
      <c r="AI69" s="1" t="s">
        <v>187</v>
      </c>
      <c r="AM69" s="4" t="s">
        <v>188</v>
      </c>
    </row>
    <row r="70" spans="1:39">
      <c r="A70" s="1" t="s">
        <v>189</v>
      </c>
      <c r="L70" s="1" t="s">
        <v>190</v>
      </c>
      <c r="Q70" s="1" t="s">
        <v>191</v>
      </c>
      <c r="AB70" s="1" t="s">
        <v>192</v>
      </c>
      <c r="AI70" s="1" t="s">
        <v>192</v>
      </c>
      <c r="AM70" s="4" t="s">
        <v>193</v>
      </c>
    </row>
    <row r="71" spans="1:39">
      <c r="A71" s="1" t="s">
        <v>194</v>
      </c>
      <c r="B71" s="4" t="s">
        <v>195</v>
      </c>
      <c r="E71" s="4" t="s">
        <v>193</v>
      </c>
      <c r="H71" s="4" t="s">
        <v>196</v>
      </c>
      <c r="L71" s="4" t="s">
        <v>197</v>
      </c>
      <c r="M71" s="4" t="s">
        <v>198</v>
      </c>
      <c r="O71" s="4" t="s">
        <v>199</v>
      </c>
      <c r="P71" s="4" t="s">
        <v>200</v>
      </c>
      <c r="R71" s="4" t="s">
        <v>201</v>
      </c>
      <c r="S71" s="4" t="s">
        <v>202</v>
      </c>
      <c r="U71" s="4" t="s">
        <v>203</v>
      </c>
      <c r="V71" s="4" t="s">
        <v>204</v>
      </c>
      <c r="AA71" s="1" t="s">
        <v>194</v>
      </c>
      <c r="AB71" s="4" t="s">
        <v>65</v>
      </c>
      <c r="AC71" s="4" t="s">
        <v>66</v>
      </c>
      <c r="AI71" s="4" t="s">
        <v>65</v>
      </c>
      <c r="AJ71" s="4" t="s">
        <v>66</v>
      </c>
      <c r="AM71" s="4" t="s">
        <v>205</v>
      </c>
    </row>
    <row r="72" spans="1:39">
      <c r="A72" s="1" t="s">
        <v>72</v>
      </c>
      <c r="B72" s="4" t="s">
        <v>72</v>
      </c>
      <c r="E72" s="4" t="s">
        <v>72</v>
      </c>
      <c r="H72" s="4" t="s">
        <v>72</v>
      </c>
      <c r="L72" s="4" t="s">
        <v>75</v>
      </c>
      <c r="M72" s="4" t="s">
        <v>75</v>
      </c>
      <c r="O72" s="4" t="s">
        <v>75</v>
      </c>
      <c r="P72" s="4" t="s">
        <v>75</v>
      </c>
      <c r="R72" s="4" t="s">
        <v>75</v>
      </c>
      <c r="S72" s="4" t="s">
        <v>75</v>
      </c>
      <c r="U72" s="4" t="s">
        <v>75</v>
      </c>
      <c r="V72" s="4" t="s">
        <v>75</v>
      </c>
      <c r="AA72" s="1" t="s">
        <v>77</v>
      </c>
      <c r="AB72" s="4" t="s">
        <v>75</v>
      </c>
      <c r="AC72" s="4" t="s">
        <v>75</v>
      </c>
      <c r="AI72" s="4" t="s">
        <v>75</v>
      </c>
      <c r="AJ72" s="4" t="s">
        <v>75</v>
      </c>
      <c r="AM72" s="4" t="s">
        <v>72</v>
      </c>
    </row>
    <row r="73" spans="1:39">
      <c r="A73" s="1" t="s">
        <v>81</v>
      </c>
      <c r="B73" s="6">
        <f t="shared" ref="B73:B100" si="22">(IF((B15+(C15/60)+(D15/3600))&gt;180,B15-360,B15)+(C15/60)+(D15/3600))*$L$177</f>
        <v>0.91522157092495982</v>
      </c>
      <c r="C73" s="6">
        <f t="shared" ref="C73:C78" si="23">IF(B73=0,0,1)</f>
        <v>1</v>
      </c>
      <c r="E73" s="6">
        <f t="shared" ref="E73:E100" si="24">(IF((E15+(F15/60)+(G15/3600))&gt;180,E15-360,E15)+(F15/60)+(G15/3600))*$L$177</f>
        <v>0.4150392961242515</v>
      </c>
      <c r="H73" s="6">
        <f t="shared" ref="H73:H100" si="25">(IF((H15+(I15/60)+(J15/3600))&gt;180,H15-360,H15)+(I15/60)+(J15/3600))*$L$177</f>
        <v>0.22625284870019824</v>
      </c>
      <c r="L73" s="6">
        <f t="shared" ref="L73:L100" si="26">ABS(SIN(B73-E73+PI()-B$102))</f>
        <v>0.47958549182564897</v>
      </c>
      <c r="M73" s="6">
        <f t="shared" ref="M73:M100" si="27">ABS(SIN(PI()-(B73-H73)))</f>
        <v>0.6357414749990542</v>
      </c>
      <c r="O73" s="6">
        <f t="shared" ref="O73:O100" si="28">ABS(SIN(E73-H73+PI()-E$102+H$102))</f>
        <v>0.18766704243273066</v>
      </c>
      <c r="P73" s="6">
        <f t="shared" ref="P73:P100" si="29">MAX(L73:O73)</f>
        <v>0.6357414749990542</v>
      </c>
      <c r="R73" s="6">
        <f t="shared" ref="R73:R100" si="30">SQRT((H110-O110)^2+(E110-M110)^2)</f>
        <v>7.5798853799446606E-2</v>
      </c>
      <c r="S73" s="6">
        <f t="shared" ref="S73:S100" si="31">SQRT((H110-S110)^2+(E110-R110)^2)</f>
        <v>0.25677644030062363</v>
      </c>
      <c r="U73" s="6">
        <f t="shared" ref="U73:U100" si="32">SQRT((O110-S110)^2+(M110-R110)^2)</f>
        <v>0.19370492606438217</v>
      </c>
      <c r="V73" s="6">
        <f t="shared" ref="V73:V100" si="33">(R73+S73+U73)/2</f>
        <v>0.26314011008222621</v>
      </c>
      <c r="AA73" s="1" t="s">
        <v>81</v>
      </c>
      <c r="AB73" s="6">
        <f t="shared" ref="AB73:AC98" si="34">ABS(AB15)</f>
        <v>3.6560281595399147E-2</v>
      </c>
      <c r="AC73" s="6">
        <f t="shared" si="34"/>
        <v>7.9939739416821087</v>
      </c>
      <c r="AI73" s="6">
        <f t="shared" ref="AI73:AJ98" si="35">ABS(AI15)</f>
        <v>3.6560281595399147E-2</v>
      </c>
      <c r="AJ73" s="6">
        <f t="shared" si="35"/>
        <v>7.9939739416821087</v>
      </c>
      <c r="AM73" s="6">
        <f t="shared" ref="AM73:AM98" si="36">IF(AND(AF15=0,AG15=0),0,$L$179*MOD((2*PI())-$B$102-ATAN2(AB143-$U$104,AC143-$V$104),2*PI()))</f>
        <v>0</v>
      </c>
    </row>
    <row r="74" spans="1:39">
      <c r="A74" s="1" t="s">
        <v>80</v>
      </c>
      <c r="B74" s="6">
        <f t="shared" si="22"/>
        <v>0.89962996294047703</v>
      </c>
      <c r="C74" s="6">
        <f t="shared" si="23"/>
        <v>1</v>
      </c>
      <c r="E74" s="6">
        <f t="shared" si="24"/>
        <v>0.40328741249415645</v>
      </c>
      <c r="H74" s="6">
        <f t="shared" si="25"/>
        <v>0.21927153169222097</v>
      </c>
      <c r="L74" s="6">
        <f t="shared" si="26"/>
        <v>0.47621262519182384</v>
      </c>
      <c r="M74" s="6">
        <f t="shared" si="27"/>
        <v>0.62907168998124241</v>
      </c>
      <c r="O74" s="6">
        <f t="shared" si="28"/>
        <v>0.18297911817422671</v>
      </c>
      <c r="P74" s="6">
        <f t="shared" si="29"/>
        <v>0.62907168998124241</v>
      </c>
      <c r="R74" s="6">
        <f t="shared" si="30"/>
        <v>9.4967262448650683E-2</v>
      </c>
      <c r="S74" s="6">
        <f t="shared" si="31"/>
        <v>0.32649198923659295</v>
      </c>
      <c r="U74" s="6">
        <f t="shared" si="32"/>
        <v>0.24715721558394785</v>
      </c>
      <c r="V74" s="6">
        <f t="shared" si="33"/>
        <v>0.33430823363459572</v>
      </c>
      <c r="AA74" s="1" t="s">
        <v>80</v>
      </c>
      <c r="AB74" s="6">
        <f t="shared" si="34"/>
        <v>1.256319239467274</v>
      </c>
      <c r="AC74" s="6">
        <f t="shared" si="34"/>
        <v>9.3339830736130622</v>
      </c>
      <c r="AI74" s="6">
        <f t="shared" si="35"/>
        <v>1.256319239467274</v>
      </c>
      <c r="AJ74" s="6">
        <f t="shared" si="35"/>
        <v>9.3339830736130622</v>
      </c>
      <c r="AM74" s="6">
        <f t="shared" si="36"/>
        <v>0</v>
      </c>
    </row>
    <row r="75" spans="1:39">
      <c r="A75" s="1" t="s">
        <v>83</v>
      </c>
      <c r="B75" s="6">
        <f t="shared" si="22"/>
        <v>1.558200867359671</v>
      </c>
      <c r="C75" s="6">
        <f t="shared" si="23"/>
        <v>1</v>
      </c>
      <c r="E75" s="6">
        <f t="shared" si="24"/>
        <v>0.59018308656188245</v>
      </c>
      <c r="H75" s="6">
        <f t="shared" si="25"/>
        <v>0.27538386714383867</v>
      </c>
      <c r="L75" s="6">
        <f t="shared" si="26"/>
        <v>0.82376354591955026</v>
      </c>
      <c r="M75" s="6">
        <f t="shared" si="27"/>
        <v>0.95881973486819316</v>
      </c>
      <c r="O75" s="6">
        <f t="shared" si="28"/>
        <v>0.30962556353381382</v>
      </c>
      <c r="P75" s="6">
        <f t="shared" si="29"/>
        <v>0.95881973486819316</v>
      </c>
      <c r="R75" s="6">
        <f t="shared" si="30"/>
        <v>4.2952747108597977E-2</v>
      </c>
      <c r="S75" s="6">
        <f t="shared" si="31"/>
        <v>0.13301208441701604</v>
      </c>
      <c r="U75" s="6">
        <f t="shared" si="32"/>
        <v>0.11427644042445512</v>
      </c>
      <c r="V75" s="6">
        <f t="shared" si="33"/>
        <v>0.14512063597503455</v>
      </c>
      <c r="AA75" s="1" t="s">
        <v>83</v>
      </c>
      <c r="AB75" s="6">
        <f t="shared" si="34"/>
        <v>11.604507924042201</v>
      </c>
      <c r="AC75" s="6">
        <f t="shared" si="34"/>
        <v>4.6495264048732832</v>
      </c>
      <c r="AI75" s="6">
        <f t="shared" si="35"/>
        <v>11.604507924042201</v>
      </c>
      <c r="AJ75" s="6">
        <f t="shared" si="35"/>
        <v>4.6495264048732832</v>
      </c>
      <c r="AM75" s="6">
        <f t="shared" si="36"/>
        <v>0</v>
      </c>
    </row>
    <row r="76" spans="1:39">
      <c r="A76" s="1" t="s">
        <v>84</v>
      </c>
      <c r="B76" s="6">
        <f t="shared" si="22"/>
        <v>1.5581717785388043</v>
      </c>
      <c r="C76" s="6">
        <f t="shared" si="23"/>
        <v>1</v>
      </c>
      <c r="E76" s="6">
        <f t="shared" si="24"/>
        <v>0.57438785683133375</v>
      </c>
      <c r="H76" s="6">
        <f t="shared" si="25"/>
        <v>0.26651177677953414</v>
      </c>
      <c r="L76" s="6">
        <f t="shared" si="26"/>
        <v>0.83259914961852044</v>
      </c>
      <c r="M76" s="6">
        <f t="shared" si="27"/>
        <v>0.96129376129387079</v>
      </c>
      <c r="O76" s="6">
        <f t="shared" si="28"/>
        <v>0.30303526963277388</v>
      </c>
      <c r="P76" s="6">
        <f t="shared" si="29"/>
        <v>0.96129376129387079</v>
      </c>
      <c r="R76" s="6">
        <f t="shared" si="30"/>
        <v>3.1540063498836819E-2</v>
      </c>
      <c r="S76" s="6">
        <f t="shared" si="31"/>
        <v>0.10005193886826258</v>
      </c>
      <c r="U76" s="6">
        <f t="shared" si="32"/>
        <v>8.6657338863063135E-2</v>
      </c>
      <c r="V76" s="6">
        <f t="shared" si="33"/>
        <v>0.10912467061508127</v>
      </c>
      <c r="AA76" s="1" t="s">
        <v>84</v>
      </c>
      <c r="AB76" s="6">
        <f t="shared" si="34"/>
        <v>12.594911374112341</v>
      </c>
      <c r="AC76" s="6">
        <f t="shared" si="34"/>
        <v>4.753108031503106</v>
      </c>
      <c r="AI76" s="6">
        <f t="shared" si="35"/>
        <v>12.594911374112341</v>
      </c>
      <c r="AJ76" s="6">
        <f t="shared" si="35"/>
        <v>4.753108031503106</v>
      </c>
      <c r="AM76" s="6">
        <f t="shared" si="36"/>
        <v>0</v>
      </c>
    </row>
    <row r="77" spans="1:39">
      <c r="A77" s="1" t="s">
        <v>85</v>
      </c>
      <c r="B77" s="6">
        <f t="shared" si="22"/>
        <v>1.9088375140853315</v>
      </c>
      <c r="C77" s="6">
        <f t="shared" si="23"/>
        <v>1</v>
      </c>
      <c r="E77" s="6">
        <f t="shared" si="24"/>
        <v>0.72727869930603706</v>
      </c>
      <c r="H77" s="6">
        <f t="shared" si="25"/>
        <v>0.30630528372500487</v>
      </c>
      <c r="L77" s="6">
        <f t="shared" si="26"/>
        <v>0.92519868006209494</v>
      </c>
      <c r="M77" s="6">
        <f t="shared" si="27"/>
        <v>0.99949645847712909</v>
      </c>
      <c r="O77" s="6">
        <f t="shared" si="28"/>
        <v>0.40864907473634904</v>
      </c>
      <c r="P77" s="6">
        <f t="shared" si="29"/>
        <v>0.99949645847712909</v>
      </c>
      <c r="R77" s="6">
        <f t="shared" si="30"/>
        <v>3.604414050534932E-2</v>
      </c>
      <c r="S77" s="6">
        <f t="shared" si="31"/>
        <v>8.8158747960417838E-2</v>
      </c>
      <c r="U77" s="6">
        <f t="shared" si="32"/>
        <v>8.1605448980955342E-2</v>
      </c>
      <c r="V77" s="6">
        <f t="shared" si="33"/>
        <v>0.10290416872336125</v>
      </c>
      <c r="AA77" s="1" t="s">
        <v>85</v>
      </c>
      <c r="AB77" s="6">
        <f t="shared" si="34"/>
        <v>23.384528095818169</v>
      </c>
      <c r="AC77" s="6">
        <f t="shared" si="34"/>
        <v>3.6115225685780628</v>
      </c>
      <c r="AI77" s="6">
        <f t="shared" si="35"/>
        <v>23.384528095818169</v>
      </c>
      <c r="AJ77" s="6">
        <f t="shared" si="35"/>
        <v>3.6115225685780628</v>
      </c>
      <c r="AM77" s="6">
        <f t="shared" si="36"/>
        <v>0</v>
      </c>
    </row>
    <row r="78" spans="1:39">
      <c r="A78" s="1" t="s">
        <v>86</v>
      </c>
      <c r="B78" s="6">
        <f t="shared" si="22"/>
        <v>1.9194258448807642</v>
      </c>
      <c r="C78" s="6">
        <f t="shared" si="23"/>
        <v>1</v>
      </c>
      <c r="E78" s="6">
        <f t="shared" si="24"/>
        <v>0.71186162424675381</v>
      </c>
      <c r="H78" s="6">
        <f t="shared" si="25"/>
        <v>0.29752045982330005</v>
      </c>
      <c r="L78" s="6">
        <f t="shared" si="26"/>
        <v>0.93475334951700362</v>
      </c>
      <c r="M78" s="6">
        <f t="shared" si="27"/>
        <v>0.99869421635923783</v>
      </c>
      <c r="O78" s="6">
        <f t="shared" si="28"/>
        <v>0.40258693173544607</v>
      </c>
      <c r="P78" s="6">
        <f t="shared" si="29"/>
        <v>0.99869421635923783</v>
      </c>
      <c r="R78" s="6">
        <f t="shared" si="30"/>
        <v>7.045180948347059E-5</v>
      </c>
      <c r="S78" s="6">
        <f t="shared" si="31"/>
        <v>1.7476924644934544E-4</v>
      </c>
      <c r="U78" s="6">
        <f t="shared" si="32"/>
        <v>1.6357973826327526E-4</v>
      </c>
      <c r="V78" s="6">
        <f t="shared" si="33"/>
        <v>2.0440039709804562E-4</v>
      </c>
      <c r="AA78" s="1" t="s">
        <v>86</v>
      </c>
      <c r="AB78" s="6">
        <f t="shared" si="34"/>
        <v>22.673950564047018</v>
      </c>
      <c r="AC78" s="6">
        <f t="shared" si="34"/>
        <v>5.9363364889019055</v>
      </c>
      <c r="AI78" s="6">
        <f t="shared" si="35"/>
        <v>22.673950564047018</v>
      </c>
      <c r="AJ78" s="6">
        <f t="shared" si="35"/>
        <v>5.9363364889019055</v>
      </c>
      <c r="AM78" s="6">
        <f t="shared" si="36"/>
        <v>0</v>
      </c>
    </row>
    <row r="79" spans="1:39">
      <c r="A79" s="1" t="s">
        <v>87</v>
      </c>
      <c r="B79" s="6">
        <f t="shared" si="22"/>
        <v>1.9745782492437849</v>
      </c>
      <c r="E79" s="6">
        <f t="shared" si="24"/>
        <v>0.63689973287359747</v>
      </c>
      <c r="H79" s="6">
        <f t="shared" si="25"/>
        <v>0.25665066650576618</v>
      </c>
      <c r="L79" s="6">
        <f t="shared" si="26"/>
        <v>0.97295087308146511</v>
      </c>
      <c r="M79" s="6">
        <f t="shared" si="27"/>
        <v>0.98919570846428195</v>
      </c>
      <c r="O79" s="6">
        <f t="shared" si="28"/>
        <v>0.37115175703345721</v>
      </c>
      <c r="P79" s="6">
        <f t="shared" si="29"/>
        <v>0.98919570846428195</v>
      </c>
      <c r="R79" s="6">
        <f t="shared" si="30"/>
        <v>3.1959762647844815E-2</v>
      </c>
      <c r="S79" s="6">
        <f t="shared" si="31"/>
        <v>8.5179335556548191E-2</v>
      </c>
      <c r="U79" s="6">
        <f t="shared" si="32"/>
        <v>8.3780497821705713E-2</v>
      </c>
      <c r="V79" s="6">
        <f t="shared" si="33"/>
        <v>0.10045979801304936</v>
      </c>
      <c r="AA79" s="1" t="s">
        <v>87</v>
      </c>
      <c r="AB79" s="6">
        <f t="shared" si="34"/>
        <v>21.140390612661264</v>
      </c>
      <c r="AC79" s="6">
        <f t="shared" si="34"/>
        <v>6.8260624691165006</v>
      </c>
      <c r="AI79" s="6">
        <f t="shared" si="35"/>
        <v>21.140390612661264</v>
      </c>
      <c r="AJ79" s="6">
        <f t="shared" si="35"/>
        <v>6.8260624691165006</v>
      </c>
      <c r="AM79" s="6">
        <f t="shared" si="36"/>
        <v>0</v>
      </c>
    </row>
    <row r="80" spans="1:39">
      <c r="A80" s="1" t="s">
        <v>88</v>
      </c>
      <c r="B80" s="6">
        <f t="shared" si="22"/>
        <v>2.2393737855921914</v>
      </c>
      <c r="E80" s="6">
        <f t="shared" si="24"/>
        <v>1.110814802431791</v>
      </c>
      <c r="H80" s="6">
        <f t="shared" si="25"/>
        <v>0.4146611414529861</v>
      </c>
      <c r="L80" s="6">
        <f t="shared" si="26"/>
        <v>0.90379642660445381</v>
      </c>
      <c r="M80" s="6">
        <f t="shared" si="27"/>
        <v>0.96793608141299081</v>
      </c>
      <c r="O80" s="6">
        <f t="shared" si="28"/>
        <v>0.64127108676476097</v>
      </c>
      <c r="P80" s="6">
        <f t="shared" si="29"/>
        <v>0.96793608141299081</v>
      </c>
      <c r="R80" s="6">
        <f t="shared" si="30"/>
        <v>5.3961513073193815E-2</v>
      </c>
      <c r="S80" s="6">
        <f t="shared" si="31"/>
        <v>8.1449634310946026E-2</v>
      </c>
      <c r="U80" s="6">
        <f t="shared" si="32"/>
        <v>7.6052427274949999E-2</v>
      </c>
      <c r="V80" s="6">
        <f t="shared" si="33"/>
        <v>0.10573178732954491</v>
      </c>
      <c r="AA80" s="1" t="s">
        <v>88</v>
      </c>
      <c r="AB80" s="6">
        <f t="shared" si="34"/>
        <v>10.223301426043463</v>
      </c>
      <c r="AC80" s="6">
        <f t="shared" si="34"/>
        <v>8.0707298104698566E-2</v>
      </c>
      <c r="AI80" s="6">
        <f t="shared" si="35"/>
        <v>10.223301426043463</v>
      </c>
      <c r="AJ80" s="6">
        <f t="shared" si="35"/>
        <v>8.0707298104698566E-2</v>
      </c>
      <c r="AM80" s="6">
        <f t="shared" si="36"/>
        <v>0</v>
      </c>
    </row>
    <row r="81" spans="1:39">
      <c r="A81" s="1" t="s">
        <v>89</v>
      </c>
      <c r="B81" s="6">
        <f t="shared" si="22"/>
        <v>2.3044163890498464</v>
      </c>
      <c r="C81" s="6">
        <f>IF(B81=0,0,1)</f>
        <v>1</v>
      </c>
      <c r="E81" s="6">
        <f t="shared" si="24"/>
        <v>1.058542191334561</v>
      </c>
      <c r="H81" s="6">
        <f t="shared" si="25"/>
        <v>0.36919531443853382</v>
      </c>
      <c r="L81" s="6">
        <f t="shared" si="26"/>
        <v>0.94767558841061328</v>
      </c>
      <c r="M81" s="6">
        <f t="shared" si="27"/>
        <v>0.93432894245661202</v>
      </c>
      <c r="O81" s="6">
        <f t="shared" si="28"/>
        <v>0.63603332790277745</v>
      </c>
      <c r="P81" s="6">
        <f t="shared" si="29"/>
        <v>0.94767558841061328</v>
      </c>
      <c r="R81" s="6">
        <f t="shared" si="30"/>
        <v>2.5922114391799492E-2</v>
      </c>
      <c r="S81" s="6">
        <f t="shared" si="31"/>
        <v>3.8079422356418091E-2</v>
      </c>
      <c r="U81" s="6">
        <f t="shared" si="32"/>
        <v>3.8623377001568975E-2</v>
      </c>
      <c r="V81" s="6">
        <f t="shared" si="33"/>
        <v>5.1312456874893275E-2</v>
      </c>
      <c r="AA81" s="1" t="s">
        <v>89</v>
      </c>
      <c r="AB81" s="6">
        <f t="shared" si="34"/>
        <v>10.607481240097627</v>
      </c>
      <c r="AC81" s="6">
        <f t="shared" si="34"/>
        <v>3.8059604128914293</v>
      </c>
      <c r="AI81" s="6">
        <f t="shared" si="35"/>
        <v>10.607481240097627</v>
      </c>
      <c r="AJ81" s="6">
        <f t="shared" si="35"/>
        <v>3.8059604128914293</v>
      </c>
      <c r="AM81" s="6">
        <f t="shared" si="36"/>
        <v>0</v>
      </c>
    </row>
    <row r="82" spans="1:39">
      <c r="A82" s="1" t="s">
        <v>90</v>
      </c>
      <c r="B82" s="6">
        <f t="shared" si="22"/>
        <v>2.3205025069890604</v>
      </c>
      <c r="C82" s="6">
        <f>IF(B82=0,0,1)</f>
        <v>1</v>
      </c>
      <c r="E82" s="6">
        <f t="shared" si="24"/>
        <v>1.0455394884072031</v>
      </c>
      <c r="H82" s="6">
        <f t="shared" si="25"/>
        <v>0.35881060538916759</v>
      </c>
      <c r="L82" s="6">
        <f t="shared" si="26"/>
        <v>0.95655953424116968</v>
      </c>
      <c r="M82" s="6">
        <f t="shared" si="27"/>
        <v>0.92456820182350441</v>
      </c>
      <c r="O82" s="6">
        <f t="shared" si="28"/>
        <v>0.63401094524763013</v>
      </c>
      <c r="P82" s="6">
        <f t="shared" si="29"/>
        <v>0.95655953424116968</v>
      </c>
      <c r="R82" s="6">
        <f t="shared" si="30"/>
        <v>2.5863264631989187E-2</v>
      </c>
      <c r="S82" s="6">
        <f t="shared" si="31"/>
        <v>3.7715992528732686E-2</v>
      </c>
      <c r="U82" s="6">
        <f t="shared" si="32"/>
        <v>3.9021017784916595E-2</v>
      </c>
      <c r="V82" s="6">
        <f t="shared" si="33"/>
        <v>5.1300137472819238E-2</v>
      </c>
      <c r="AA82" s="1" t="s">
        <v>90</v>
      </c>
      <c r="AB82" s="6">
        <f t="shared" si="34"/>
        <v>8.4466560466594842</v>
      </c>
      <c r="AC82" s="6">
        <f t="shared" si="34"/>
        <v>3.0420660679642442</v>
      </c>
      <c r="AI82" s="6">
        <f t="shared" si="35"/>
        <v>8.4466560466594842</v>
      </c>
      <c r="AJ82" s="6">
        <f t="shared" si="35"/>
        <v>3.0420660679642442</v>
      </c>
      <c r="AM82" s="6">
        <f t="shared" si="36"/>
        <v>0</v>
      </c>
    </row>
    <row r="83" spans="1:39">
      <c r="A83" s="1" t="s">
        <v>91</v>
      </c>
      <c r="B83" s="6">
        <f t="shared" si="22"/>
        <v>2.5362252025355598</v>
      </c>
      <c r="C83" s="6">
        <f>IF(B83=0,0,1)</f>
        <v>1</v>
      </c>
      <c r="E83" s="6">
        <f t="shared" si="24"/>
        <v>1.5617787923262592</v>
      </c>
      <c r="H83" s="6">
        <f t="shared" si="25"/>
        <v>0.46012696846743839</v>
      </c>
      <c r="L83" s="6">
        <f t="shared" si="26"/>
        <v>0.82739110444837094</v>
      </c>
      <c r="M83" s="6">
        <f t="shared" si="27"/>
        <v>0.87502836955814423</v>
      </c>
      <c r="O83" s="6">
        <f t="shared" si="28"/>
        <v>0.89195540477715074</v>
      </c>
      <c r="P83" s="6">
        <f t="shared" si="29"/>
        <v>0.89195540477715074</v>
      </c>
      <c r="R83" s="6">
        <f t="shared" si="30"/>
        <v>3.9157091075076783E-2</v>
      </c>
      <c r="S83" s="6">
        <f t="shared" si="31"/>
        <v>3.8413989507300586E-2</v>
      </c>
      <c r="U83" s="6">
        <f t="shared" si="32"/>
        <v>3.632270028085572E-2</v>
      </c>
      <c r="V83" s="6">
        <f t="shared" si="33"/>
        <v>5.6946890431616548E-2</v>
      </c>
      <c r="AA83" s="1" t="s">
        <v>91</v>
      </c>
      <c r="AB83" s="6">
        <f t="shared" si="34"/>
        <v>6.6038842777174978</v>
      </c>
      <c r="AC83" s="6">
        <f t="shared" si="34"/>
        <v>4.584582430086459</v>
      </c>
      <c r="AI83" s="6">
        <f t="shared" si="35"/>
        <v>6.6038842777174978</v>
      </c>
      <c r="AJ83" s="6">
        <f t="shared" si="35"/>
        <v>4.584582430086459</v>
      </c>
      <c r="AM83" s="6">
        <f t="shared" si="36"/>
        <v>0</v>
      </c>
    </row>
    <row r="84" spans="1:39">
      <c r="A84" s="1" t="s">
        <v>92</v>
      </c>
      <c r="B84" s="6">
        <f t="shared" si="22"/>
        <v>2.5507114353271128</v>
      </c>
      <c r="C84" s="6">
        <f>IF(B84=0,0,1)</f>
        <v>1</v>
      </c>
      <c r="E84" s="6">
        <f t="shared" si="24"/>
        <v>1.5620987693557915</v>
      </c>
      <c r="H84" s="6">
        <f t="shared" si="25"/>
        <v>0.4481132854495441</v>
      </c>
      <c r="L84" s="6">
        <f t="shared" si="26"/>
        <v>0.83526395818225274</v>
      </c>
      <c r="M84" s="6">
        <f t="shared" si="27"/>
        <v>0.86189478878453807</v>
      </c>
      <c r="O84" s="6">
        <f t="shared" si="28"/>
        <v>0.89746375864089356</v>
      </c>
      <c r="P84" s="6">
        <f t="shared" si="29"/>
        <v>0.89746375864089356</v>
      </c>
      <c r="R84" s="6">
        <f t="shared" si="30"/>
        <v>4.1628724225370436E-2</v>
      </c>
      <c r="S84" s="6">
        <f t="shared" si="31"/>
        <v>3.9978862798809599E-2</v>
      </c>
      <c r="U84" s="6">
        <f t="shared" si="32"/>
        <v>3.874359564475649E-2</v>
      </c>
      <c r="V84" s="6">
        <f t="shared" si="33"/>
        <v>6.0175591334468259E-2</v>
      </c>
      <c r="AA84" s="1" t="s">
        <v>92</v>
      </c>
      <c r="AB84" s="6">
        <f t="shared" si="34"/>
        <v>7.7220801410717854</v>
      </c>
      <c r="AC84" s="6">
        <f t="shared" si="34"/>
        <v>1.4533625994996191</v>
      </c>
      <c r="AI84" s="6">
        <f t="shared" si="35"/>
        <v>7.7220801410717854</v>
      </c>
      <c r="AJ84" s="6">
        <f t="shared" si="35"/>
        <v>1.4533625994996191</v>
      </c>
      <c r="AM84" s="6">
        <f t="shared" si="36"/>
        <v>0</v>
      </c>
    </row>
    <row r="85" spans="1:39">
      <c r="A85" s="1" t="s">
        <v>93</v>
      </c>
      <c r="B85" s="6">
        <f t="shared" si="22"/>
        <v>2.6200300954521545</v>
      </c>
      <c r="E85" s="6">
        <f t="shared" si="24"/>
        <v>1.5623605687435906</v>
      </c>
      <c r="H85" s="6">
        <f t="shared" si="25"/>
        <v>0.3912737294762621</v>
      </c>
      <c r="L85" s="6">
        <f t="shared" si="26"/>
        <v>0.87121381112018936</v>
      </c>
      <c r="M85" s="6">
        <f t="shared" si="27"/>
        <v>0.79124132123326374</v>
      </c>
      <c r="O85" s="6">
        <f t="shared" si="28"/>
        <v>0.92117408601910733</v>
      </c>
      <c r="P85" s="6">
        <f t="shared" si="29"/>
        <v>0.92117408601910733</v>
      </c>
      <c r="R85" s="6">
        <f t="shared" si="30"/>
        <v>3.0401375588471634E-2</v>
      </c>
      <c r="S85" s="6">
        <f t="shared" si="31"/>
        <v>2.6113223279961531E-2</v>
      </c>
      <c r="U85" s="6">
        <f t="shared" si="32"/>
        <v>2.8752543836931148E-2</v>
      </c>
      <c r="V85" s="6">
        <f t="shared" si="33"/>
        <v>4.2633571352682156E-2</v>
      </c>
      <c r="AA85" s="1" t="s">
        <v>93</v>
      </c>
      <c r="AB85" s="6">
        <f t="shared" si="34"/>
        <v>4.145981336229454</v>
      </c>
      <c r="AC85" s="6">
        <f t="shared" si="34"/>
        <v>1.5885140350944127</v>
      </c>
      <c r="AI85" s="6">
        <f t="shared" si="35"/>
        <v>4.145981336229454</v>
      </c>
      <c r="AJ85" s="6">
        <f t="shared" si="35"/>
        <v>1.5885140350944127</v>
      </c>
      <c r="AM85" s="6">
        <f t="shared" si="36"/>
        <v>0</v>
      </c>
    </row>
    <row r="86" spans="1:39">
      <c r="A86" s="1" t="s">
        <v>94</v>
      </c>
      <c r="B86" s="6">
        <f t="shared" si="22"/>
        <v>2.6191574308261569</v>
      </c>
      <c r="E86" s="6">
        <f t="shared" si="24"/>
        <v>2.0085830808368077</v>
      </c>
      <c r="H86" s="6">
        <f t="shared" si="25"/>
        <v>0.66165431943105024</v>
      </c>
      <c r="L86" s="6">
        <f t="shared" si="26"/>
        <v>0.57333813041676074</v>
      </c>
      <c r="M86" s="6">
        <f t="shared" si="27"/>
        <v>0.92615608449906794</v>
      </c>
      <c r="O86" s="6">
        <f t="shared" si="28"/>
        <v>0.97504613533943774</v>
      </c>
      <c r="P86" s="6">
        <f t="shared" si="29"/>
        <v>0.97504613533943774</v>
      </c>
      <c r="R86" s="6">
        <f t="shared" si="30"/>
        <v>2.5990881028320378E-2</v>
      </c>
      <c r="S86" s="6">
        <f t="shared" si="31"/>
        <v>2.4687665263664747E-2</v>
      </c>
      <c r="U86" s="6">
        <f t="shared" si="32"/>
        <v>1.528293133682275E-2</v>
      </c>
      <c r="V86" s="6">
        <f t="shared" si="33"/>
        <v>3.2980738814403936E-2</v>
      </c>
      <c r="AA86" s="1" t="s">
        <v>94</v>
      </c>
      <c r="AB86" s="6">
        <f t="shared" si="34"/>
        <v>8.8470006396391909</v>
      </c>
      <c r="AC86" s="6">
        <f t="shared" si="34"/>
        <v>1.5546020338659261</v>
      </c>
      <c r="AI86" s="6">
        <f t="shared" si="35"/>
        <v>8.8470006396391909</v>
      </c>
      <c r="AJ86" s="6">
        <f t="shared" si="35"/>
        <v>1.5546020338659261</v>
      </c>
      <c r="AM86" s="6">
        <f t="shared" si="36"/>
        <v>0</v>
      </c>
    </row>
    <row r="87" spans="1:39">
      <c r="A87" s="1" t="s">
        <v>95</v>
      </c>
      <c r="B87" s="6">
        <f t="shared" si="22"/>
        <v>2.67352443702578</v>
      </c>
      <c r="C87" s="6">
        <f>IF(B87=0,0,1)</f>
        <v>1</v>
      </c>
      <c r="E87" s="6">
        <f t="shared" si="24"/>
        <v>2.0622519553356335</v>
      </c>
      <c r="H87" s="6">
        <f t="shared" si="25"/>
        <v>0.60170225962504509</v>
      </c>
      <c r="L87" s="6">
        <f t="shared" si="26"/>
        <v>0.57390998311788766</v>
      </c>
      <c r="M87" s="6">
        <f t="shared" si="27"/>
        <v>0.87709028122689836</v>
      </c>
      <c r="O87" s="6">
        <f t="shared" si="28"/>
        <v>0.99392899298597248</v>
      </c>
      <c r="P87" s="6">
        <f t="shared" si="29"/>
        <v>0.99392899298597248</v>
      </c>
      <c r="R87" s="6">
        <f t="shared" si="30"/>
        <v>3.0047992113963577E-2</v>
      </c>
      <c r="S87" s="6">
        <f t="shared" si="31"/>
        <v>2.6515779335844158E-2</v>
      </c>
      <c r="U87" s="6">
        <f t="shared" si="32"/>
        <v>1.7350175685119394E-2</v>
      </c>
      <c r="V87" s="6">
        <f t="shared" si="33"/>
        <v>3.6956973567463566E-2</v>
      </c>
      <c r="AA87" s="1" t="s">
        <v>95</v>
      </c>
      <c r="AB87" s="6">
        <f t="shared" si="34"/>
        <v>18.989523445551981</v>
      </c>
      <c r="AC87" s="6">
        <f t="shared" si="34"/>
        <v>0.84174404946066872</v>
      </c>
      <c r="AI87" s="6">
        <f t="shared" si="35"/>
        <v>18.989523445551981</v>
      </c>
      <c r="AJ87" s="6">
        <f t="shared" si="35"/>
        <v>0.84174404946066872</v>
      </c>
      <c r="AM87" s="6">
        <f t="shared" si="36"/>
        <v>0</v>
      </c>
    </row>
    <row r="88" spans="1:39">
      <c r="A88" s="1" t="s">
        <v>97</v>
      </c>
      <c r="B88" s="6">
        <f t="shared" si="22"/>
        <v>2.6858290082523406</v>
      </c>
      <c r="C88" s="6">
        <f>IF(B88=0,0,1)</f>
        <v>1</v>
      </c>
      <c r="E88" s="6">
        <f t="shared" si="24"/>
        <v>2.0756909905759895</v>
      </c>
      <c r="H88" s="6">
        <f t="shared" si="25"/>
        <v>0.58771053678822383</v>
      </c>
      <c r="L88" s="6">
        <f t="shared" si="26"/>
        <v>0.57298058055872947</v>
      </c>
      <c r="M88" s="6">
        <f t="shared" si="27"/>
        <v>0.86415772049574369</v>
      </c>
      <c r="O88" s="6">
        <f t="shared" si="28"/>
        <v>0.99657272508245587</v>
      </c>
      <c r="P88" s="6">
        <f t="shared" si="29"/>
        <v>0.99657272508245587</v>
      </c>
      <c r="R88" s="6">
        <f t="shared" si="30"/>
        <v>6.103113302143021E-3</v>
      </c>
      <c r="S88" s="6">
        <f t="shared" si="31"/>
        <v>5.2921902700527618E-3</v>
      </c>
      <c r="U88" s="6">
        <f t="shared" si="32"/>
        <v>3.5089916822631669E-3</v>
      </c>
      <c r="V88" s="6">
        <f t="shared" si="33"/>
        <v>7.4521476272294751E-3</v>
      </c>
      <c r="AA88" s="1" t="s">
        <v>97</v>
      </c>
      <c r="AB88" s="6">
        <f t="shared" si="34"/>
        <v>21.14175039671693</v>
      </c>
      <c r="AC88" s="6">
        <f t="shared" si="34"/>
        <v>1.802554328512751</v>
      </c>
      <c r="AI88" s="6">
        <f t="shared" si="35"/>
        <v>21.14175039671693</v>
      </c>
      <c r="AJ88" s="6">
        <f t="shared" si="35"/>
        <v>1.802554328512751</v>
      </c>
      <c r="AM88" s="6">
        <f t="shared" si="36"/>
        <v>0</v>
      </c>
    </row>
    <row r="89" spans="1:39">
      <c r="A89" s="1" t="s">
        <v>98</v>
      </c>
      <c r="B89" s="6">
        <f t="shared" si="22"/>
        <v>2.7610236101924297</v>
      </c>
      <c r="C89" s="6">
        <f>IF(B89=0,0,1)</f>
        <v>1</v>
      </c>
      <c r="E89" s="6">
        <f t="shared" si="24"/>
        <v>2.3891230354133044</v>
      </c>
      <c r="H89" s="6">
        <f t="shared" si="25"/>
        <v>0.83272567494736116</v>
      </c>
      <c r="L89" s="6">
        <f t="shared" si="26"/>
        <v>0.36338673562650581</v>
      </c>
      <c r="M89" s="6">
        <f t="shared" si="27"/>
        <v>0.93677402081605365</v>
      </c>
      <c r="O89" s="6">
        <f t="shared" si="28"/>
        <v>0.99989633667539246</v>
      </c>
      <c r="P89" s="6">
        <f t="shared" si="29"/>
        <v>0.99989633667539246</v>
      </c>
      <c r="R89" s="6">
        <f t="shared" si="30"/>
        <v>7.1662119141974137E-2</v>
      </c>
      <c r="S89" s="6">
        <f t="shared" si="31"/>
        <v>6.7138171254827642E-2</v>
      </c>
      <c r="U89" s="6">
        <f t="shared" si="32"/>
        <v>2.6043763326183609E-2</v>
      </c>
      <c r="V89" s="6">
        <f t="shared" si="33"/>
        <v>8.2422026861492692E-2</v>
      </c>
      <c r="AA89" s="1" t="s">
        <v>98</v>
      </c>
      <c r="AB89" s="6">
        <f t="shared" si="34"/>
        <v>1.0866138407408243</v>
      </c>
      <c r="AC89" s="6">
        <f t="shared" si="34"/>
        <v>2.5568069113844016</v>
      </c>
      <c r="AI89" s="6">
        <f t="shared" si="35"/>
        <v>1.0866138407408243</v>
      </c>
      <c r="AJ89" s="6">
        <f t="shared" si="35"/>
        <v>2.5568069113844016</v>
      </c>
      <c r="AM89" s="6">
        <f t="shared" si="36"/>
        <v>0</v>
      </c>
    </row>
    <row r="90" spans="1:39">
      <c r="A90" s="1" t="s">
        <v>99</v>
      </c>
      <c r="B90" s="6">
        <f t="shared" si="22"/>
        <v>2.7714955857043955</v>
      </c>
      <c r="C90" s="6">
        <f>IF(B90=0,0,1)</f>
        <v>1</v>
      </c>
      <c r="E90" s="6">
        <f t="shared" si="24"/>
        <v>2.4043655775473884</v>
      </c>
      <c r="H90" s="6">
        <f t="shared" si="25"/>
        <v>0.81789037630540939</v>
      </c>
      <c r="L90" s="6">
        <f t="shared" si="26"/>
        <v>0.35893817447580728</v>
      </c>
      <c r="M90" s="6">
        <f t="shared" si="27"/>
        <v>0.92761910139581782</v>
      </c>
      <c r="O90" s="6">
        <f t="shared" si="28"/>
        <v>0.99987708896597249</v>
      </c>
      <c r="P90" s="6">
        <f t="shared" si="29"/>
        <v>0.99987708896597249</v>
      </c>
      <c r="R90" s="6">
        <f t="shared" si="30"/>
        <v>2.1416131159872416E-3</v>
      </c>
      <c r="S90" s="6">
        <f t="shared" si="31"/>
        <v>1.986845439458674E-3</v>
      </c>
      <c r="U90" s="6">
        <f t="shared" si="32"/>
        <v>7.6880119640525713E-4</v>
      </c>
      <c r="V90" s="6">
        <f t="shared" si="33"/>
        <v>2.4486298759255863E-3</v>
      </c>
      <c r="AA90" s="1" t="s">
        <v>99</v>
      </c>
      <c r="AB90" s="6">
        <f t="shared" si="34"/>
        <v>0.88965339664071053</v>
      </c>
      <c r="AC90" s="6">
        <f t="shared" si="34"/>
        <v>0.40249930269520284</v>
      </c>
      <c r="AI90" s="6">
        <f t="shared" si="35"/>
        <v>0.88965339664071053</v>
      </c>
      <c r="AJ90" s="6">
        <f t="shared" si="35"/>
        <v>0.40249930269520284</v>
      </c>
      <c r="AM90" s="6">
        <f t="shared" si="36"/>
        <v>0</v>
      </c>
    </row>
    <row r="91" spans="1:39">
      <c r="A91" s="1" t="s">
        <v>100</v>
      </c>
      <c r="B91" s="6">
        <f t="shared" si="22"/>
        <v>2.8198993836263715</v>
      </c>
      <c r="E91" s="6">
        <f t="shared" si="24"/>
        <v>2.4799092453378764</v>
      </c>
      <c r="H91" s="6">
        <f t="shared" si="25"/>
        <v>0.74353935017045092</v>
      </c>
      <c r="L91" s="6">
        <f t="shared" si="26"/>
        <v>0.33347779495006685</v>
      </c>
      <c r="M91" s="6">
        <f t="shared" si="27"/>
        <v>0.87490160991388943</v>
      </c>
      <c r="O91" s="6">
        <f t="shared" si="28"/>
        <v>0.9863239831530578</v>
      </c>
      <c r="P91" s="6">
        <f t="shared" si="29"/>
        <v>0.9863239831530578</v>
      </c>
      <c r="R91" s="6">
        <f t="shared" si="30"/>
        <v>6.1057306192944687E-2</v>
      </c>
      <c r="S91" s="6">
        <f t="shared" si="31"/>
        <v>5.4159826180505355E-2</v>
      </c>
      <c r="U91" s="6">
        <f t="shared" si="32"/>
        <v>2.0643577751942071E-2</v>
      </c>
      <c r="V91" s="6">
        <f t="shared" si="33"/>
        <v>6.7930355062696055E-2</v>
      </c>
      <c r="AA91" s="1" t="s">
        <v>100</v>
      </c>
      <c r="AB91" s="6">
        <f t="shared" si="34"/>
        <v>3.7631521391574552</v>
      </c>
      <c r="AC91" s="6">
        <f t="shared" si="34"/>
        <v>1.2128596370720501</v>
      </c>
      <c r="AI91" s="6">
        <f t="shared" si="35"/>
        <v>3.7631521391574552</v>
      </c>
      <c r="AJ91" s="6">
        <f t="shared" si="35"/>
        <v>1.2128596370720501</v>
      </c>
      <c r="AM91" s="6">
        <f t="shared" si="36"/>
        <v>0</v>
      </c>
    </row>
    <row r="92" spans="1:39">
      <c r="A92" s="1" t="s">
        <v>101</v>
      </c>
      <c r="B92" s="6">
        <f t="shared" si="22"/>
        <v>2.7816184953659628</v>
      </c>
      <c r="E92" s="6">
        <f t="shared" si="24"/>
        <v>2.5228443449369364</v>
      </c>
      <c r="H92" s="6">
        <f t="shared" si="25"/>
        <v>1.2562589067646519</v>
      </c>
      <c r="L92" s="6">
        <f t="shared" si="26"/>
        <v>0.25589571029039221</v>
      </c>
      <c r="M92" s="6">
        <f t="shared" si="27"/>
        <v>0.99896792898846798</v>
      </c>
      <c r="O92" s="6">
        <f t="shared" si="28"/>
        <v>0.95408362032555283</v>
      </c>
      <c r="P92" s="6">
        <f t="shared" si="29"/>
        <v>0.99896792898846798</v>
      </c>
      <c r="R92" s="6">
        <f t="shared" si="30"/>
        <v>3.1043805101695882E-2</v>
      </c>
      <c r="S92" s="6">
        <f t="shared" si="31"/>
        <v>3.2504242845939564E-2</v>
      </c>
      <c r="U92" s="6">
        <f t="shared" si="32"/>
        <v>8.3262896326751074E-3</v>
      </c>
      <c r="V92" s="6">
        <f t="shared" si="33"/>
        <v>3.5937168790155273E-2</v>
      </c>
      <c r="AA92" s="1" t="s">
        <v>101</v>
      </c>
      <c r="AB92" s="6">
        <f t="shared" si="34"/>
        <v>5.4778814390886055</v>
      </c>
      <c r="AC92" s="6">
        <f t="shared" si="34"/>
        <v>5.9914007600536223</v>
      </c>
      <c r="AI92" s="6">
        <f t="shared" si="35"/>
        <v>5.4778814390886055</v>
      </c>
      <c r="AJ92" s="6">
        <f t="shared" si="35"/>
        <v>5.9914007600536223</v>
      </c>
      <c r="AM92" s="6">
        <f t="shared" si="36"/>
        <v>0</v>
      </c>
    </row>
    <row r="93" spans="1:39">
      <c r="A93" s="1" t="s">
        <v>102</v>
      </c>
      <c r="B93" s="6">
        <f t="shared" si="22"/>
        <v>2.8212083805653672</v>
      </c>
      <c r="C93" s="6">
        <f t="shared" ref="C93:C98" si="37">IF(B93=0,0,1)</f>
        <v>1</v>
      </c>
      <c r="E93" s="6">
        <f t="shared" si="24"/>
        <v>2.5813419636996136</v>
      </c>
      <c r="H93" s="6">
        <f t="shared" si="25"/>
        <v>1.2190833936971726</v>
      </c>
      <c r="L93" s="6">
        <f t="shared" si="26"/>
        <v>0.23757286993559046</v>
      </c>
      <c r="M93" s="6">
        <f t="shared" si="27"/>
        <v>0.9995092976657215</v>
      </c>
      <c r="O93" s="6">
        <f t="shared" si="28"/>
        <v>0.97833468809736268</v>
      </c>
      <c r="P93" s="6">
        <f t="shared" si="29"/>
        <v>0.9995092976657215</v>
      </c>
      <c r="R93" s="6">
        <f t="shared" si="30"/>
        <v>6.9427412260389454E-2</v>
      </c>
      <c r="S93" s="6">
        <f t="shared" si="31"/>
        <v>7.0930066071881154E-2</v>
      </c>
      <c r="U93" s="6">
        <f t="shared" si="32"/>
        <v>1.6859332275113405E-2</v>
      </c>
      <c r="V93" s="6">
        <f t="shared" si="33"/>
        <v>7.8608405303692008E-2</v>
      </c>
      <c r="AA93" s="1" t="s">
        <v>102</v>
      </c>
      <c r="AB93" s="6">
        <f t="shared" si="34"/>
        <v>5.6203841389617537</v>
      </c>
      <c r="AC93" s="6">
        <f t="shared" si="34"/>
        <v>3.6370849535143135</v>
      </c>
      <c r="AI93" s="6">
        <f t="shared" si="35"/>
        <v>5.6203841389617537</v>
      </c>
      <c r="AJ93" s="6">
        <f t="shared" si="35"/>
        <v>3.6370849535143135</v>
      </c>
      <c r="AM93" s="6">
        <f t="shared" si="36"/>
        <v>0</v>
      </c>
    </row>
    <row r="94" spans="1:39">
      <c r="A94" s="1" t="s">
        <v>103</v>
      </c>
      <c r="B94" s="6">
        <f t="shared" si="22"/>
        <v>2.8301095597505386</v>
      </c>
      <c r="C94" s="6">
        <f t="shared" si="37"/>
        <v>1</v>
      </c>
      <c r="E94" s="6">
        <f t="shared" si="24"/>
        <v>2.5950137095069024</v>
      </c>
      <c r="H94" s="6">
        <f t="shared" si="25"/>
        <v>1.2095131716320704</v>
      </c>
      <c r="L94" s="6">
        <f t="shared" si="26"/>
        <v>0.23293620017923491</v>
      </c>
      <c r="M94" s="6">
        <f t="shared" si="27"/>
        <v>0.99876023320109497</v>
      </c>
      <c r="O94" s="6">
        <f t="shared" si="28"/>
        <v>0.98288179828544364</v>
      </c>
      <c r="P94" s="6">
        <f t="shared" si="29"/>
        <v>0.99876023320109497</v>
      </c>
      <c r="R94" s="6">
        <f t="shared" si="30"/>
        <v>0.16491860391160076</v>
      </c>
      <c r="S94" s="6">
        <f t="shared" si="31"/>
        <v>0.16758286051213783</v>
      </c>
      <c r="U94" s="6">
        <f t="shared" si="32"/>
        <v>3.9084570495739199E-2</v>
      </c>
      <c r="V94" s="6">
        <f t="shared" si="33"/>
        <v>0.18579301745973892</v>
      </c>
      <c r="AA94" s="1" t="s">
        <v>103</v>
      </c>
      <c r="AB94" s="6">
        <f t="shared" si="34"/>
        <v>5.9231233638882941</v>
      </c>
      <c r="AC94" s="6">
        <f t="shared" si="34"/>
        <v>5.8759822013143337</v>
      </c>
      <c r="AI94" s="6">
        <f t="shared" si="35"/>
        <v>5.9231233638882941</v>
      </c>
      <c r="AJ94" s="6">
        <f t="shared" si="35"/>
        <v>5.8759822013143337</v>
      </c>
      <c r="AM94" s="6">
        <f t="shared" si="36"/>
        <v>0</v>
      </c>
    </row>
    <row r="95" spans="1:39">
      <c r="A95" s="1" t="s">
        <v>104</v>
      </c>
      <c r="B95" s="6">
        <f t="shared" si="22"/>
        <v>2.8513734878040027</v>
      </c>
      <c r="C95" s="6">
        <f t="shared" si="37"/>
        <v>1</v>
      </c>
      <c r="E95" s="6">
        <f t="shared" si="24"/>
        <v>2.6651468566162078</v>
      </c>
      <c r="H95" s="6">
        <f t="shared" si="25"/>
        <v>1.5568918704206751</v>
      </c>
      <c r="L95" s="6">
        <f t="shared" si="26"/>
        <v>0.18515209510115052</v>
      </c>
      <c r="M95" s="6">
        <f t="shared" si="27"/>
        <v>0.96206736066037257</v>
      </c>
      <c r="O95" s="6">
        <f t="shared" si="28"/>
        <v>0.8949213818551417</v>
      </c>
      <c r="P95" s="6">
        <f t="shared" si="29"/>
        <v>0.96206736066037257</v>
      </c>
      <c r="R95" s="6">
        <f t="shared" si="30"/>
        <v>0.28219181399463616</v>
      </c>
      <c r="S95" s="6">
        <f t="shared" si="31"/>
        <v>0.3033646744778653</v>
      </c>
      <c r="U95" s="6">
        <f t="shared" si="32"/>
        <v>5.8383235266097275E-2</v>
      </c>
      <c r="V95" s="6">
        <f t="shared" si="33"/>
        <v>0.32196986186929938</v>
      </c>
      <c r="AA95" s="1" t="s">
        <v>104</v>
      </c>
      <c r="AB95" s="6">
        <f t="shared" si="34"/>
        <v>15.796369243463459</v>
      </c>
      <c r="AC95" s="6">
        <f t="shared" si="34"/>
        <v>3.8397516996053316</v>
      </c>
      <c r="AI95" s="6">
        <f t="shared" si="35"/>
        <v>15.796369243463459</v>
      </c>
      <c r="AJ95" s="6">
        <f t="shared" si="35"/>
        <v>3.8397516996053316</v>
      </c>
      <c r="AM95" s="6">
        <f t="shared" si="36"/>
        <v>0</v>
      </c>
    </row>
    <row r="96" spans="1:39">
      <c r="A96" s="1" t="s">
        <v>105</v>
      </c>
      <c r="B96" s="6">
        <f t="shared" si="22"/>
        <v>2.8603328446309066</v>
      </c>
      <c r="C96" s="6">
        <f t="shared" si="37"/>
        <v>1</v>
      </c>
      <c r="E96" s="6">
        <f t="shared" si="24"/>
        <v>2.6783240924687646</v>
      </c>
      <c r="H96" s="6">
        <f t="shared" si="25"/>
        <v>1.5568918704206751</v>
      </c>
      <c r="L96" s="6">
        <f t="shared" si="26"/>
        <v>0.18100550904215987</v>
      </c>
      <c r="M96" s="6">
        <f t="shared" si="27"/>
        <v>0.96447293576628768</v>
      </c>
      <c r="O96" s="6">
        <f t="shared" si="28"/>
        <v>0.90072351279884266</v>
      </c>
      <c r="P96" s="6">
        <f t="shared" si="29"/>
        <v>0.96447293576628768</v>
      </c>
      <c r="R96" s="6">
        <f t="shared" si="30"/>
        <v>6.4942704514221614E-2</v>
      </c>
      <c r="S96" s="6">
        <f t="shared" si="31"/>
        <v>6.9539076075354631E-2</v>
      </c>
      <c r="U96" s="6">
        <f t="shared" si="32"/>
        <v>1.3050605565557009E-2</v>
      </c>
      <c r="V96" s="6">
        <f t="shared" si="33"/>
        <v>7.3766193077566627E-2</v>
      </c>
      <c r="AA96" s="1" t="s">
        <v>105</v>
      </c>
      <c r="AB96" s="6">
        <f t="shared" si="34"/>
        <v>13.850260971338457</v>
      </c>
      <c r="AC96" s="6">
        <f t="shared" si="34"/>
        <v>2.8289733788822158</v>
      </c>
      <c r="AI96" s="6">
        <f t="shared" si="35"/>
        <v>13.850260971338457</v>
      </c>
      <c r="AJ96" s="6">
        <f t="shared" si="35"/>
        <v>2.8289733788822158</v>
      </c>
      <c r="AM96" s="6">
        <f t="shared" si="36"/>
        <v>0</v>
      </c>
    </row>
    <row r="97" spans="1:42">
      <c r="A97" s="1" t="s">
        <v>106</v>
      </c>
      <c r="B97" s="6">
        <f t="shared" si="22"/>
        <v>2.8980901341157175</v>
      </c>
      <c r="C97" s="6">
        <f t="shared" si="37"/>
        <v>1</v>
      </c>
      <c r="E97" s="6">
        <f t="shared" si="24"/>
        <v>2.777633326907242</v>
      </c>
      <c r="H97" s="6">
        <f t="shared" si="25"/>
        <v>2.1753202020439995</v>
      </c>
      <c r="L97" s="6">
        <f t="shared" si="26"/>
        <v>0.12016571692429913</v>
      </c>
      <c r="M97" s="6">
        <f t="shared" si="27"/>
        <v>0.66146459053874251</v>
      </c>
      <c r="O97" s="6">
        <f t="shared" si="28"/>
        <v>0.56655006545167541</v>
      </c>
      <c r="P97" s="6">
        <f t="shared" si="29"/>
        <v>0.66146459053874251</v>
      </c>
      <c r="R97" s="6">
        <f t="shared" si="30"/>
        <v>0.10925375823806752</v>
      </c>
      <c r="S97" s="6">
        <f t="shared" si="31"/>
        <v>0.12755711606906889</v>
      </c>
      <c r="U97" s="6">
        <f t="shared" si="32"/>
        <v>2.3172808522911221E-2</v>
      </c>
      <c r="V97" s="6">
        <f t="shared" si="33"/>
        <v>0.12999184141502382</v>
      </c>
      <c r="AA97" s="1" t="s">
        <v>106</v>
      </c>
      <c r="AB97" s="6">
        <f t="shared" si="34"/>
        <v>4.9086737616050868</v>
      </c>
      <c r="AC97" s="6">
        <f t="shared" si="34"/>
        <v>5.1947861509923587</v>
      </c>
      <c r="AI97" s="6">
        <f t="shared" si="35"/>
        <v>4.9086737616050868</v>
      </c>
      <c r="AJ97" s="6">
        <f t="shared" si="35"/>
        <v>5.1947861509923587</v>
      </c>
      <c r="AM97" s="6">
        <f t="shared" si="36"/>
        <v>0</v>
      </c>
    </row>
    <row r="98" spans="1:42">
      <c r="A98" s="1" t="s">
        <v>107</v>
      </c>
      <c r="B98" s="6">
        <f t="shared" si="22"/>
        <v>2.9048678293776291</v>
      </c>
      <c r="C98" s="6">
        <f t="shared" si="37"/>
        <v>1</v>
      </c>
      <c r="E98" s="6">
        <f t="shared" si="24"/>
        <v>2.7872617266140773</v>
      </c>
      <c r="H98" s="6">
        <f t="shared" si="25"/>
        <v>2.1895737242686195</v>
      </c>
      <c r="L98" s="6">
        <f t="shared" si="26"/>
        <v>0.11733518468941033</v>
      </c>
      <c r="M98" s="6">
        <f t="shared" si="27"/>
        <v>0.65583946511922087</v>
      </c>
      <c r="O98" s="6">
        <f t="shared" si="28"/>
        <v>0.56273279198873005</v>
      </c>
      <c r="P98" s="6">
        <f t="shared" si="29"/>
        <v>0.65583946511922087</v>
      </c>
      <c r="R98" s="6">
        <f t="shared" si="30"/>
        <v>4.9941065277165258E-3</v>
      </c>
      <c r="S98" s="6">
        <f t="shared" si="31"/>
        <v>5.8204039297423422E-3</v>
      </c>
      <c r="U98" s="6">
        <f t="shared" si="32"/>
        <v>1.0413191129547978E-3</v>
      </c>
      <c r="V98" s="6">
        <f t="shared" si="33"/>
        <v>5.927914785206833E-3</v>
      </c>
      <c r="AA98" s="1" t="s">
        <v>107</v>
      </c>
      <c r="AB98" s="6">
        <f t="shared" si="34"/>
        <v>2.1100546886543725</v>
      </c>
      <c r="AC98" s="6">
        <f t="shared" si="34"/>
        <v>1.9163220798577463</v>
      </c>
      <c r="AI98" s="6">
        <f t="shared" si="35"/>
        <v>2.1100546886543725</v>
      </c>
      <c r="AJ98" s="6">
        <f t="shared" si="35"/>
        <v>1.9163220798577463</v>
      </c>
      <c r="AM98" s="6">
        <f t="shared" si="36"/>
        <v>0</v>
      </c>
    </row>
    <row r="99" spans="1:42">
      <c r="A99" s="1" t="s">
        <v>96</v>
      </c>
      <c r="B99" s="6">
        <f t="shared" si="22"/>
        <v>3.1369384422511413</v>
      </c>
      <c r="C99" s="4" t="s">
        <v>206</v>
      </c>
      <c r="E99" s="6">
        <f t="shared" si="24"/>
        <v>1.0122909661567111E-2</v>
      </c>
      <c r="H99" s="6">
        <f t="shared" si="25"/>
        <v>1.8810770827049996E-3</v>
      </c>
      <c r="L99" s="6">
        <f t="shared" si="26"/>
        <v>1.4776583209260041E-2</v>
      </c>
      <c r="M99" s="6">
        <f t="shared" si="27"/>
        <v>6.5352419011006271E-3</v>
      </c>
      <c r="O99" s="6">
        <f t="shared" si="28"/>
        <v>8.2417392709141276E-3</v>
      </c>
      <c r="P99" s="6">
        <f t="shared" si="29"/>
        <v>1.4776583209260041E-2</v>
      </c>
      <c r="R99" s="6">
        <f t="shared" si="30"/>
        <v>2.4359569678563349E-2</v>
      </c>
      <c r="S99" s="6">
        <f t="shared" si="31"/>
        <v>1.931578702476584E-2</v>
      </c>
      <c r="U99" s="6">
        <f t="shared" si="32"/>
        <v>4.3674180470847777E-2</v>
      </c>
      <c r="V99" s="6">
        <f t="shared" si="33"/>
        <v>4.3674768587088478E-2</v>
      </c>
      <c r="AA99" s="1" t="s">
        <v>96</v>
      </c>
    </row>
    <row r="100" spans="1:42">
      <c r="A100" s="1" t="s">
        <v>109</v>
      </c>
      <c r="B100" s="6">
        <f t="shared" si="22"/>
        <v>2.6374542991512309</v>
      </c>
      <c r="C100" s="6">
        <f>SUM(C73:C98)</f>
        <v>20</v>
      </c>
      <c r="E100" s="6">
        <f t="shared" si="24"/>
        <v>2.2897847121539607</v>
      </c>
      <c r="H100" s="6">
        <f t="shared" si="25"/>
        <v>1.1754210735764477</v>
      </c>
      <c r="L100" s="6">
        <f t="shared" si="26"/>
        <v>0.34070775194395131</v>
      </c>
      <c r="M100" s="6">
        <f t="shared" si="27"/>
        <v>0.99409112223257734</v>
      </c>
      <c r="O100" s="6">
        <f t="shared" si="28"/>
        <v>0.89763049403185036</v>
      </c>
      <c r="P100" s="6">
        <f t="shared" si="29"/>
        <v>0.99409112223257734</v>
      </c>
      <c r="R100" s="6">
        <f t="shared" si="30"/>
        <v>0.17643516026461542</v>
      </c>
      <c r="S100" s="6">
        <f t="shared" si="31"/>
        <v>0.19539512932645939</v>
      </c>
      <c r="U100" s="6">
        <f t="shared" si="32"/>
        <v>6.6968343006703915E-2</v>
      </c>
      <c r="V100" s="6">
        <f t="shared" si="33"/>
        <v>0.21939931629888934</v>
      </c>
      <c r="AA100" s="1" t="s">
        <v>109</v>
      </c>
    </row>
    <row r="102" spans="1:42">
      <c r="A102" s="1" t="s">
        <v>113</v>
      </c>
      <c r="B102" s="15">
        <f>(IF((B43+(C43/60)+(D43/3600))&gt;180,B43-360,B43)+(C43/60)+(D43/3600))*$L$177</f>
        <v>3.1415926535897931</v>
      </c>
      <c r="C102" s="15"/>
      <c r="D102" s="15"/>
      <c r="E102" s="15">
        <f>(IF((E43+(F43/60)+(G43/3600))&gt;180,E43-360,E43)+(F43/60)+(G43/3600))*$L$177</f>
        <v>3.1415926535897931</v>
      </c>
      <c r="F102" s="15"/>
      <c r="G102" s="15"/>
      <c r="H102" s="15">
        <f>(IF((H43+(I43/60)+(J43/3600))&gt;180,H43-360,H43)+(I43/60)+(J43/3600))*$L$177</f>
        <v>0</v>
      </c>
      <c r="J102" s="1" t="s">
        <v>207</v>
      </c>
    </row>
    <row r="103" spans="1:42">
      <c r="A103" s="1" t="s">
        <v>208</v>
      </c>
      <c r="B103" s="15">
        <f>PI()-ABS(B102)</f>
        <v>0</v>
      </c>
      <c r="C103" s="15"/>
      <c r="D103" s="15"/>
      <c r="E103" s="15">
        <f>ABS(E102)</f>
        <v>3.1415926535897931</v>
      </c>
      <c r="F103" s="15"/>
      <c r="G103" s="15"/>
      <c r="H103" s="15">
        <f>ABS(H102)</f>
        <v>0</v>
      </c>
      <c r="J103" s="1" t="s">
        <v>209</v>
      </c>
      <c r="R103" s="1" t="s">
        <v>210</v>
      </c>
      <c r="U103" s="4" t="s">
        <v>211</v>
      </c>
      <c r="V103" s="4" t="s">
        <v>212</v>
      </c>
    </row>
    <row r="104" spans="1:42">
      <c r="A104" s="1" t="s">
        <v>213</v>
      </c>
      <c r="B104" s="15">
        <f>IF(H102=0,0,ACOS((L6^2+O6^2-M6^2)/(2*L6*O6)))</f>
        <v>0</v>
      </c>
      <c r="C104" s="15"/>
      <c r="D104" s="15"/>
      <c r="E104" s="15">
        <f>IF(H102=0,PI(),ACOS((L6^2+M6^2-O6^2)/(2*L6*M6)))</f>
        <v>3.1415926535897931</v>
      </c>
      <c r="F104" s="15"/>
      <c r="G104" s="15"/>
      <c r="H104" s="15">
        <f>IF(H102=0,0,ACOS((M6^2+O6^2-L6^2)/(2*M6*O6)))</f>
        <v>0</v>
      </c>
      <c r="J104" s="1" t="s">
        <v>214</v>
      </c>
      <c r="R104" s="1" t="s">
        <v>215</v>
      </c>
      <c r="U104" s="6">
        <f>COS(PI()-B102)*L6</f>
        <v>108.95</v>
      </c>
      <c r="V104" s="6">
        <f>SIN(PI()-B102)*L6</f>
        <v>0</v>
      </c>
    </row>
    <row r="105" spans="1:42">
      <c r="A105" s="1" t="s">
        <v>216</v>
      </c>
      <c r="B105" s="9">
        <f>648000*(B103-B104)/PI()</f>
        <v>0</v>
      </c>
      <c r="E105" s="9">
        <f>648000*(E103-E104)/PI()</f>
        <v>0</v>
      </c>
      <c r="H105" s="9">
        <f>648000*(H103-H104)/PI()</f>
        <v>0</v>
      </c>
      <c r="J105" s="1" t="s">
        <v>217</v>
      </c>
      <c r="AF105" s="1" t="s">
        <v>218</v>
      </c>
      <c r="AI105" s="1" t="s">
        <v>219</v>
      </c>
    </row>
    <row r="106" spans="1:42">
      <c r="AF106" s="1" t="s">
        <v>220</v>
      </c>
      <c r="AI106" s="1" t="s">
        <v>221</v>
      </c>
    </row>
    <row r="107" spans="1:42">
      <c r="U107" s="1" t="s">
        <v>222</v>
      </c>
      <c r="AB107" s="1" t="s">
        <v>223</v>
      </c>
      <c r="AF107" s="1" t="s">
        <v>224</v>
      </c>
      <c r="AI107" s="1" t="s">
        <v>225</v>
      </c>
      <c r="AL107" s="1" t="s">
        <v>226</v>
      </c>
      <c r="AO107" s="1" t="s">
        <v>227</v>
      </c>
    </row>
    <row r="108" spans="1:42">
      <c r="A108" s="1" t="s">
        <v>194</v>
      </c>
      <c r="B108" s="4" t="s">
        <v>228</v>
      </c>
      <c r="E108" s="1" t="s">
        <v>229</v>
      </c>
      <c r="H108" s="1" t="s">
        <v>230</v>
      </c>
      <c r="L108" s="1" t="s">
        <v>231</v>
      </c>
      <c r="M108" s="1" t="s">
        <v>232</v>
      </c>
      <c r="O108" s="1" t="s">
        <v>233</v>
      </c>
      <c r="P108" s="1" t="s">
        <v>234</v>
      </c>
      <c r="R108" s="1" t="s">
        <v>235</v>
      </c>
      <c r="S108" s="1" t="s">
        <v>236</v>
      </c>
      <c r="U108" s="4" t="s">
        <v>197</v>
      </c>
      <c r="V108" s="4" t="s">
        <v>199</v>
      </c>
      <c r="AA108" s="1" t="s">
        <v>194</v>
      </c>
      <c r="AB108" s="4" t="s">
        <v>211</v>
      </c>
      <c r="AC108" s="4" t="s">
        <v>66</v>
      </c>
      <c r="AF108" s="4" t="s">
        <v>65</v>
      </c>
      <c r="AG108" s="4" t="s">
        <v>66</v>
      </c>
      <c r="AI108" s="4" t="s">
        <v>211</v>
      </c>
      <c r="AJ108" s="4" t="s">
        <v>212</v>
      </c>
      <c r="AL108" s="4" t="s">
        <v>237</v>
      </c>
      <c r="AM108" s="4" t="s">
        <v>238</v>
      </c>
      <c r="AO108" s="4" t="s">
        <v>237</v>
      </c>
      <c r="AP108" s="4" t="s">
        <v>238</v>
      </c>
    </row>
    <row r="109" spans="1:42">
      <c r="A109" s="1" t="s">
        <v>72</v>
      </c>
      <c r="B109" s="4" t="s">
        <v>75</v>
      </c>
      <c r="E109" s="4" t="s">
        <v>75</v>
      </c>
      <c r="H109" s="4" t="s">
        <v>75</v>
      </c>
      <c r="L109" s="4" t="s">
        <v>75</v>
      </c>
      <c r="M109" s="4" t="s">
        <v>75</v>
      </c>
      <c r="O109" s="4" t="s">
        <v>75</v>
      </c>
      <c r="P109" s="4" t="s">
        <v>75</v>
      </c>
      <c r="R109" s="4" t="s">
        <v>75</v>
      </c>
      <c r="S109" s="4" t="s">
        <v>75</v>
      </c>
      <c r="U109" s="4" t="s">
        <v>75</v>
      </c>
      <c r="V109" s="4" t="s">
        <v>75</v>
      </c>
      <c r="AA109" s="1" t="s">
        <v>77</v>
      </c>
      <c r="AB109" s="4" t="s">
        <v>75</v>
      </c>
      <c r="AC109" s="4" t="s">
        <v>75</v>
      </c>
      <c r="AF109" s="4" t="s">
        <v>75</v>
      </c>
      <c r="AG109" s="4" t="s">
        <v>75</v>
      </c>
      <c r="AI109" s="4" t="s">
        <v>72</v>
      </c>
      <c r="AJ109" s="4" t="s">
        <v>72</v>
      </c>
      <c r="AL109" s="4" t="s">
        <v>72</v>
      </c>
      <c r="AM109" s="4" t="s">
        <v>72</v>
      </c>
      <c r="AO109" s="4" t="s">
        <v>77</v>
      </c>
      <c r="AP109" s="4" t="s">
        <v>72</v>
      </c>
    </row>
    <row r="110" spans="1:42">
      <c r="A110" s="1" t="s">
        <v>81</v>
      </c>
      <c r="B110" s="6">
        <f t="shared" ref="B110:B137" si="38">($L$6)*ABS(SIN(E73))/(L73)</f>
        <v>91.602981177601805</v>
      </c>
      <c r="E110" s="6">
        <f t="shared" ref="E110:E137" si="39">SIN(B73)*B110</f>
        <v>72.613470594676258</v>
      </c>
      <c r="H110" s="6">
        <f t="shared" ref="H110:H137" si="40">-COS(B73)*(B110)</f>
        <v>-55.842546940663055</v>
      </c>
      <c r="L110" s="6">
        <f t="shared" ref="L110:L137" si="41">($O$6)*ABS(SIN(H73))/(M73)</f>
        <v>91.527182323802364</v>
      </c>
      <c r="M110" s="6">
        <f t="shared" ref="M110:M137" si="42">SIN(B73)*L110</f>
        <v>72.553385019177298</v>
      </c>
      <c r="O110" s="6">
        <f t="shared" ref="O110:O137" si="43">-COS(B73)*L110</f>
        <v>-55.796338826069743</v>
      </c>
      <c r="P110" s="6">
        <f t="shared" ref="P110:P137" si="44">($M$6)*ABS(SIN($E$102-E73))/(O73)</f>
        <v>323.23253202958222</v>
      </c>
      <c r="R110" s="6">
        <f t="shared" ref="R110:R137" si="45">(P110*SIN(H73))</f>
        <v>72.509931685851171</v>
      </c>
      <c r="S110" s="6">
        <f t="shared" ref="S110:S137" si="46">$O$6-P110*COS(H73)</f>
        <v>-55.607570697921858</v>
      </c>
      <c r="U110" s="6">
        <f t="shared" ref="U110:U137" si="47">TAN((ATAN2(S110-H110,R110-E110)+ATAN2(O110-H110,M110-E110))/2)</f>
        <v>-0.78435854206683575</v>
      </c>
      <c r="V110" s="6">
        <f t="shared" ref="V110:V137" si="48">TAN((ATAN2(H110-S110,E110-R110)+ATAN2(O110-S110,M110-R110))/2)</f>
        <v>-0.33210658227106388</v>
      </c>
      <c r="AA110" s="1" t="s">
        <v>81</v>
      </c>
      <c r="AB110" s="6">
        <v>-55</v>
      </c>
      <c r="AC110" s="10">
        <f t="shared" ref="AC110:AC135" si="49">P15</f>
        <v>1.1499999999999999</v>
      </c>
      <c r="AF110" s="6">
        <f t="shared" ref="AF110:AF137" si="50">(AO110*COS(AP110))</f>
        <v>-55.000365602815954</v>
      </c>
      <c r="AG110" s="6">
        <f t="shared" ref="AG110:AG137" si="51">ABS(AO110*SIN(AP110))</f>
        <v>1.0700602605831788</v>
      </c>
      <c r="AI110" s="6">
        <f t="shared" ref="AI110:AI137" si="52">(AB143-$AF$180)</f>
        <v>-55.009973894632992</v>
      </c>
      <c r="AJ110" s="6">
        <f t="shared" ref="AJ110:AJ137" si="53">(AC143-$AG$180)</f>
        <v>0.29667746206298773</v>
      </c>
      <c r="AL110" s="6">
        <f>IF(C73=0,0,SQRT(AI110^2+AJ110^2))</f>
        <v>55.010773902979217</v>
      </c>
      <c r="AM110" s="6">
        <f t="shared" ref="AM110:AM137" si="54">ATAN2(AI110,AJ110)</f>
        <v>3.1361995482180332</v>
      </c>
      <c r="AO110" s="6">
        <f t="shared" ref="AO110:AO137" si="55">(AL110)</f>
        <v>55.010773902979217</v>
      </c>
      <c r="AP110" s="6">
        <f t="shared" ref="AP110:AP137" si="56">(AM110-$AF$182)</f>
        <v>3.1221395960049398</v>
      </c>
    </row>
    <row r="111" spans="1:42">
      <c r="A111" s="1" t="s">
        <v>80</v>
      </c>
      <c r="B111" s="6">
        <f t="shared" si="38"/>
        <v>89.785080855376592</v>
      </c>
      <c r="E111" s="6">
        <f t="shared" si="39"/>
        <v>70.310412852634045</v>
      </c>
      <c r="H111" s="6">
        <f t="shared" si="40"/>
        <v>-55.83732254235214</v>
      </c>
      <c r="L111" s="6">
        <f t="shared" si="41"/>
        <v>89.690113592927943</v>
      </c>
      <c r="M111" s="6">
        <f t="shared" si="42"/>
        <v>70.236044289765516</v>
      </c>
      <c r="O111" s="6">
        <f t="shared" si="43"/>
        <v>-55.77826242218751</v>
      </c>
      <c r="P111" s="6">
        <f t="shared" si="44"/>
        <v>322.64948964703092</v>
      </c>
      <c r="R111" s="6">
        <f t="shared" si="45"/>
        <v>70.182282984688598</v>
      </c>
      <c r="S111" s="6">
        <f t="shared" si="46"/>
        <v>-55.537023098503255</v>
      </c>
      <c r="U111" s="6">
        <f t="shared" si="47"/>
        <v>-0.76250863493560705</v>
      </c>
      <c r="V111" s="6">
        <f t="shared" si="48"/>
        <v>-0.321738842639264</v>
      </c>
      <c r="AA111" s="1" t="s">
        <v>80</v>
      </c>
      <c r="AB111" s="6">
        <v>-55</v>
      </c>
      <c r="AC111" s="10">
        <f t="shared" si="49"/>
        <v>1.1499999999999999</v>
      </c>
      <c r="AF111" s="6">
        <f t="shared" si="50"/>
        <v>-55.012563192394673</v>
      </c>
      <c r="AG111" s="6">
        <f t="shared" si="51"/>
        <v>1.2433398307361305</v>
      </c>
      <c r="AI111" s="6">
        <f t="shared" si="52"/>
        <v>-54.98964505550898</v>
      </c>
      <c r="AJ111" s="6">
        <f t="shared" si="53"/>
        <v>-2.0166654658245875</v>
      </c>
      <c r="AL111" s="6">
        <f>IF(C74=0,0,SQRT(AI111^2+AJ111^2))</f>
        <v>55.026611770414434</v>
      </c>
      <c r="AM111" s="6">
        <f t="shared" si="54"/>
        <v>-3.1049355322635126</v>
      </c>
      <c r="AO111" s="6">
        <f t="shared" si="55"/>
        <v>55.026611770414434</v>
      </c>
      <c r="AP111" s="6">
        <f t="shared" si="56"/>
        <v>-3.1189954844766059</v>
      </c>
    </row>
    <row r="112" spans="1:42">
      <c r="A112" s="1" t="s">
        <v>83</v>
      </c>
      <c r="B112" s="6">
        <f t="shared" si="38"/>
        <v>73.603775910946695</v>
      </c>
      <c r="E112" s="6">
        <f t="shared" si="39"/>
        <v>73.597937530597036</v>
      </c>
      <c r="H112" s="6">
        <f t="shared" si="40"/>
        <v>-0.92704886127518482</v>
      </c>
      <c r="L112" s="6">
        <f t="shared" si="41"/>
        <v>73.560823163838094</v>
      </c>
      <c r="M112" s="6">
        <f t="shared" si="42"/>
        <v>73.554988190575529</v>
      </c>
      <c r="O112" s="6">
        <f t="shared" si="43"/>
        <v>-0.92650786599603174</v>
      </c>
      <c r="P112" s="6">
        <f t="shared" si="44"/>
        <v>270.39165448386359</v>
      </c>
      <c r="R112" s="6">
        <f t="shared" si="45"/>
        <v>73.523914556821339</v>
      </c>
      <c r="S112" s="6">
        <f t="shared" si="46"/>
        <v>-0.81653726028071105</v>
      </c>
      <c r="U112" s="6">
        <f t="shared" si="47"/>
        <v>-1.8453535857999914</v>
      </c>
      <c r="V112" s="6">
        <f t="shared" si="48"/>
        <v>-0.46199427292289663</v>
      </c>
      <c r="AA112" s="1" t="s">
        <v>83</v>
      </c>
      <c r="AB112" s="6">
        <v>0</v>
      </c>
      <c r="AC112" s="10">
        <f t="shared" si="49"/>
        <v>1.25</v>
      </c>
      <c r="AF112" s="6">
        <f t="shared" si="50"/>
        <v>-0.11604507924042201</v>
      </c>
      <c r="AG112" s="6">
        <f t="shared" si="51"/>
        <v>1.2964952640487328</v>
      </c>
      <c r="AI112" s="6">
        <f t="shared" si="52"/>
        <v>-0.13426167028530334</v>
      </c>
      <c r="AJ112" s="6">
        <f t="shared" si="53"/>
        <v>1.294735584592047</v>
      </c>
      <c r="AL112" s="6">
        <f t="shared" ref="AL112:AL133" si="57">SQRT(AI112^2+AJ112^2)</f>
        <v>1.3016783128395084</v>
      </c>
      <c r="AM112" s="6">
        <f t="shared" si="54"/>
        <v>1.6741251462633611</v>
      </c>
      <c r="AO112" s="6">
        <f t="shared" si="55"/>
        <v>1.3016783128395084</v>
      </c>
      <c r="AP112" s="6">
        <f t="shared" si="56"/>
        <v>1.660065194050268</v>
      </c>
    </row>
    <row r="113" spans="1:42">
      <c r="A113" s="1" t="s">
        <v>84</v>
      </c>
      <c r="B113" s="6">
        <f t="shared" si="38"/>
        <v>71.096422718730437</v>
      </c>
      <c r="E113" s="6">
        <f t="shared" si="39"/>
        <v>71.090757147827304</v>
      </c>
      <c r="H113" s="6">
        <f t="shared" si="40"/>
        <v>-0.89753637756373328</v>
      </c>
      <c r="L113" s="6">
        <f t="shared" si="41"/>
        <v>71.0648826552316</v>
      </c>
      <c r="M113" s="6">
        <f t="shared" si="42"/>
        <v>71.059219597710424</v>
      </c>
      <c r="O113" s="6">
        <f t="shared" si="43"/>
        <v>-0.89713820908691877</v>
      </c>
      <c r="P113" s="6">
        <f t="shared" si="44"/>
        <v>269.72298906593602</v>
      </c>
      <c r="R113" s="6">
        <f t="shared" si="45"/>
        <v>71.036396830051544</v>
      </c>
      <c r="S113" s="6">
        <f t="shared" si="46"/>
        <v>-0.81354026859065698</v>
      </c>
      <c r="U113" s="6">
        <f t="shared" si="47"/>
        <v>-1.8109988023805212</v>
      </c>
      <c r="V113" s="6">
        <f t="shared" si="48"/>
        <v>-0.44711217715887236</v>
      </c>
      <c r="AA113" s="1" t="s">
        <v>84</v>
      </c>
      <c r="AB113" s="6">
        <v>0</v>
      </c>
      <c r="AC113" s="10">
        <f t="shared" si="49"/>
        <v>1.25</v>
      </c>
      <c r="AF113" s="6">
        <f t="shared" si="50"/>
        <v>-0.12594911374112341</v>
      </c>
      <c r="AG113" s="6">
        <f t="shared" si="51"/>
        <v>1.2024689196849689</v>
      </c>
      <c r="AI113" s="6">
        <f t="shared" si="52"/>
        <v>-0.10903056646400899</v>
      </c>
      <c r="AJ113" s="6">
        <f t="shared" si="53"/>
        <v>-1.2041208484355082</v>
      </c>
      <c r="AL113" s="6">
        <f t="shared" si="57"/>
        <v>1.2090470139992533</v>
      </c>
      <c r="AM113" s="6">
        <f t="shared" si="54"/>
        <v>-1.6610979327180082</v>
      </c>
      <c r="AO113" s="6">
        <f t="shared" si="55"/>
        <v>1.2090470139992533</v>
      </c>
      <c r="AP113" s="6">
        <f t="shared" si="56"/>
        <v>-1.6751578849311013</v>
      </c>
    </row>
    <row r="114" spans="1:42">
      <c r="A114" s="1" t="s">
        <v>85</v>
      </c>
      <c r="B114" s="6">
        <f t="shared" si="38"/>
        <v>78.290475312071791</v>
      </c>
      <c r="E114" s="6">
        <f t="shared" si="39"/>
        <v>73.859711606750153</v>
      </c>
      <c r="H114" s="6">
        <f t="shared" si="40"/>
        <v>25.964235516529659</v>
      </c>
      <c r="L114" s="6">
        <f t="shared" si="41"/>
        <v>78.254431171566438</v>
      </c>
      <c r="M114" s="6">
        <f t="shared" si="42"/>
        <v>73.825707344900593</v>
      </c>
      <c r="O114" s="6">
        <f t="shared" si="43"/>
        <v>25.952281845928713</v>
      </c>
      <c r="P114" s="6">
        <f t="shared" si="44"/>
        <v>244.74895372336911</v>
      </c>
      <c r="R114" s="6">
        <f t="shared" si="45"/>
        <v>73.801100204294514</v>
      </c>
      <c r="S114" s="6">
        <f t="shared" si="46"/>
        <v>26.030088901743568</v>
      </c>
      <c r="U114" s="6">
        <f t="shared" si="47"/>
        <v>-3.8720561150553614</v>
      </c>
      <c r="V114" s="6">
        <f t="shared" si="48"/>
        <v>-0.56830994501683818</v>
      </c>
      <c r="AA114" s="1" t="s">
        <v>85</v>
      </c>
      <c r="AB114" s="6">
        <v>27</v>
      </c>
      <c r="AC114" s="10">
        <f t="shared" si="49"/>
        <v>1.1499999999999999</v>
      </c>
      <c r="AF114" s="6">
        <f t="shared" si="50"/>
        <v>26.766154719041818</v>
      </c>
      <c r="AG114" s="6">
        <f t="shared" si="51"/>
        <v>1.1861152256857805</v>
      </c>
      <c r="AI114" s="6">
        <f t="shared" si="52"/>
        <v>26.74683299174696</v>
      </c>
      <c r="AJ114" s="6">
        <f t="shared" si="53"/>
        <v>1.5623164480618357</v>
      </c>
      <c r="AL114" s="6">
        <f t="shared" si="57"/>
        <v>26.792422581250246</v>
      </c>
      <c r="AM114" s="6">
        <f t="shared" si="54"/>
        <v>5.8344973660917898E-2</v>
      </c>
      <c r="AO114" s="6">
        <f t="shared" si="55"/>
        <v>26.792422581250246</v>
      </c>
      <c r="AP114" s="6">
        <f t="shared" si="56"/>
        <v>4.4285021447824709E-2</v>
      </c>
    </row>
    <row r="115" spans="1:42">
      <c r="A115" s="1" t="s">
        <v>86</v>
      </c>
      <c r="B115" s="6">
        <f t="shared" si="38"/>
        <v>76.138780567611718</v>
      </c>
      <c r="E115" s="6">
        <f t="shared" si="39"/>
        <v>71.558405972185241</v>
      </c>
      <c r="H115" s="6">
        <f t="shared" si="40"/>
        <v>26.009775874521718</v>
      </c>
      <c r="L115" s="6">
        <f t="shared" si="41"/>
        <v>76.13885101942121</v>
      </c>
      <c r="M115" s="6">
        <f t="shared" si="42"/>
        <v>71.558472185738268</v>
      </c>
      <c r="O115" s="6">
        <f t="shared" si="43"/>
        <v>26.009799941570876</v>
      </c>
      <c r="P115" s="6">
        <f t="shared" si="44"/>
        <v>244.1016433963693</v>
      </c>
      <c r="R115" s="6">
        <f t="shared" si="45"/>
        <v>71.55852013922123</v>
      </c>
      <c r="S115" s="6">
        <f t="shared" si="46"/>
        <v>26.009643548494807</v>
      </c>
      <c r="U115" s="6">
        <f t="shared" si="47"/>
        <v>-3.8338010553141699</v>
      </c>
      <c r="V115" s="6">
        <f t="shared" si="48"/>
        <v>-0.55240925128625584</v>
      </c>
      <c r="AA115" s="1" t="s">
        <v>86</v>
      </c>
      <c r="AB115" s="6">
        <v>27</v>
      </c>
      <c r="AC115" s="10">
        <f t="shared" si="49"/>
        <v>1.1499999999999999</v>
      </c>
      <c r="AF115" s="6">
        <f t="shared" si="50"/>
        <v>26.77326049435953</v>
      </c>
      <c r="AG115" s="6">
        <f t="shared" si="51"/>
        <v>1.0906366351109809</v>
      </c>
      <c r="AI115" s="6">
        <f t="shared" si="52"/>
        <v>26.785948032439173</v>
      </c>
      <c r="AJ115" s="6">
        <f t="shared" si="53"/>
        <v>-0.71411047614988377</v>
      </c>
      <c r="AL115" s="6">
        <f t="shared" si="57"/>
        <v>26.795465395635116</v>
      </c>
      <c r="AM115" s="6">
        <f t="shared" si="54"/>
        <v>-2.6653578315172434E-2</v>
      </c>
      <c r="AO115" s="6">
        <f t="shared" si="55"/>
        <v>26.795465395635116</v>
      </c>
      <c r="AP115" s="6">
        <f t="shared" si="56"/>
        <v>-4.0713530528265623E-2</v>
      </c>
    </row>
    <row r="116" spans="1:42">
      <c r="A116" s="1" t="s">
        <v>87</v>
      </c>
      <c r="B116" s="6">
        <f t="shared" si="38"/>
        <v>66.594527739591285</v>
      </c>
      <c r="E116" s="6">
        <f t="shared" si="39"/>
        <v>61.239106406435205</v>
      </c>
      <c r="H116" s="6">
        <f t="shared" si="40"/>
        <v>26.164918715725079</v>
      </c>
      <c r="L116" s="6">
        <f t="shared" si="41"/>
        <v>66.562567976943441</v>
      </c>
      <c r="M116" s="6">
        <f t="shared" si="42"/>
        <v>61.20971679482674</v>
      </c>
      <c r="O116" s="6">
        <f t="shared" si="43"/>
        <v>26.152361759166656</v>
      </c>
      <c r="P116" s="6">
        <f t="shared" si="44"/>
        <v>241.04901674352266</v>
      </c>
      <c r="R116" s="6">
        <f t="shared" si="45"/>
        <v>61.188449756069396</v>
      </c>
      <c r="S116" s="6">
        <f t="shared" si="46"/>
        <v>26.233398077430422</v>
      </c>
      <c r="U116" s="6">
        <f t="shared" si="47"/>
        <v>-3.6839995752773369</v>
      </c>
      <c r="V116" s="6">
        <f t="shared" si="48"/>
        <v>-0.47908395557456368</v>
      </c>
      <c r="AA116" s="1" t="s">
        <v>87</v>
      </c>
      <c r="AB116" s="6">
        <v>27</v>
      </c>
      <c r="AC116" s="10">
        <f t="shared" si="49"/>
        <v>11.5</v>
      </c>
      <c r="AF116" s="6">
        <f t="shared" si="50"/>
        <v>26.788596093873387</v>
      </c>
      <c r="AG116" s="6">
        <f t="shared" si="51"/>
        <v>11.431739375308835</v>
      </c>
      <c r="AI116" s="6">
        <f t="shared" si="52"/>
        <v>26.946672736246466</v>
      </c>
      <c r="AJ116" s="6">
        <f t="shared" si="53"/>
        <v>-11.053975496232404</v>
      </c>
      <c r="AL116" s="6">
        <f t="shared" si="57"/>
        <v>29.125822663500426</v>
      </c>
      <c r="AM116" s="6">
        <f t="shared" si="54"/>
        <v>-0.38928274237735527</v>
      </c>
      <c r="AO116" s="6">
        <f t="shared" si="55"/>
        <v>29.125822663500426</v>
      </c>
      <c r="AP116" s="6">
        <f t="shared" si="56"/>
        <v>-0.40334269459044847</v>
      </c>
    </row>
    <row r="117" spans="1:42">
      <c r="A117" s="1" t="s">
        <v>88</v>
      </c>
      <c r="B117" s="6">
        <f t="shared" si="38"/>
        <v>108.01748086992291</v>
      </c>
      <c r="E117" s="6">
        <f t="shared" si="39"/>
        <v>84.76177638377591</v>
      </c>
      <c r="H117" s="6">
        <f t="shared" si="40"/>
        <v>66.956832644256181</v>
      </c>
      <c r="L117" s="6">
        <f t="shared" si="41"/>
        <v>107.9635193568497</v>
      </c>
      <c r="M117" s="6">
        <f t="shared" si="42"/>
        <v>84.719432555095551</v>
      </c>
      <c r="O117" s="6">
        <f t="shared" si="43"/>
        <v>66.923383502774868</v>
      </c>
      <c r="P117" s="6">
        <f t="shared" si="44"/>
        <v>210.20857831793271</v>
      </c>
      <c r="R117" s="6">
        <f t="shared" si="45"/>
        <v>84.688792567473342</v>
      </c>
      <c r="S117" s="6">
        <f t="shared" si="46"/>
        <v>66.992990706805216</v>
      </c>
      <c r="U117" s="6">
        <f t="shared" si="47"/>
        <v>9.5531233470838171</v>
      </c>
      <c r="V117" s="6">
        <f t="shared" si="48"/>
        <v>-0.95567641134690873</v>
      </c>
      <c r="AA117" s="1" t="s">
        <v>88</v>
      </c>
      <c r="AB117" s="6">
        <v>68</v>
      </c>
      <c r="AC117" s="10">
        <f t="shared" si="49"/>
        <v>11.5</v>
      </c>
      <c r="AF117" s="6">
        <f t="shared" si="50"/>
        <v>67.897766985739565</v>
      </c>
      <c r="AG117" s="6">
        <f t="shared" si="51"/>
        <v>11.500807072981047</v>
      </c>
      <c r="AI117" s="6">
        <f t="shared" si="52"/>
        <v>67.729360534060959</v>
      </c>
      <c r="AJ117" s="6">
        <f t="shared" si="53"/>
        <v>12.454278245924272</v>
      </c>
      <c r="AL117" s="6">
        <f t="shared" si="57"/>
        <v>68.864906338277379</v>
      </c>
      <c r="AM117" s="6">
        <f t="shared" si="54"/>
        <v>0.18185151850621856</v>
      </c>
      <c r="AO117" s="6">
        <f t="shared" si="55"/>
        <v>68.864906338277379</v>
      </c>
      <c r="AP117" s="6">
        <f t="shared" si="56"/>
        <v>0.16779156629312536</v>
      </c>
    </row>
    <row r="118" spans="1:42">
      <c r="A118" s="1" t="s">
        <v>89</v>
      </c>
      <c r="B118" s="6">
        <f t="shared" si="38"/>
        <v>100.20874579656245</v>
      </c>
      <c r="E118" s="6">
        <f t="shared" si="39"/>
        <v>74.430588603689117</v>
      </c>
      <c r="H118" s="6">
        <f t="shared" si="40"/>
        <v>67.096052150841601</v>
      </c>
      <c r="L118" s="6">
        <f t="shared" si="41"/>
        <v>100.18282368217065</v>
      </c>
      <c r="M118" s="6">
        <f t="shared" si="42"/>
        <v>74.411334812847841</v>
      </c>
      <c r="O118" s="6">
        <f t="shared" si="43"/>
        <v>67.078695666382416</v>
      </c>
      <c r="P118" s="6">
        <f t="shared" si="44"/>
        <v>206.16402128184131</v>
      </c>
      <c r="R118" s="6">
        <f t="shared" si="45"/>
        <v>74.397396984638021</v>
      </c>
      <c r="S118" s="6">
        <f t="shared" si="46"/>
        <v>67.114716524170632</v>
      </c>
      <c r="U118" s="6">
        <f t="shared" si="47"/>
        <v>8.9978896266709949</v>
      </c>
      <c r="V118" s="6">
        <f t="shared" si="48"/>
        <v>-0.86627808977650145</v>
      </c>
      <c r="AA118" s="1" t="s">
        <v>89</v>
      </c>
      <c r="AB118" s="6">
        <v>68</v>
      </c>
      <c r="AC118" s="10">
        <f t="shared" si="49"/>
        <v>1.1499999999999999</v>
      </c>
      <c r="AF118" s="6">
        <f t="shared" si="50"/>
        <v>67.893925187599024</v>
      </c>
      <c r="AG118" s="6">
        <f t="shared" si="51"/>
        <v>1.1880596041289142</v>
      </c>
      <c r="AI118" s="6">
        <f t="shared" si="52"/>
        <v>67.870511075073125</v>
      </c>
      <c r="AJ118" s="6">
        <f t="shared" si="53"/>
        <v>2.1424960701555733</v>
      </c>
      <c r="AL118" s="6">
        <f t="shared" si="57"/>
        <v>67.904319177812653</v>
      </c>
      <c r="AM118" s="6">
        <f t="shared" si="54"/>
        <v>3.1556927961689248E-2</v>
      </c>
      <c r="AO118" s="6">
        <f t="shared" si="55"/>
        <v>67.904319177812653</v>
      </c>
      <c r="AP118" s="6">
        <f t="shared" si="56"/>
        <v>1.7496975748596058E-2</v>
      </c>
    </row>
    <row r="119" spans="1:42">
      <c r="A119" s="1" t="s">
        <v>90</v>
      </c>
      <c r="B119" s="6">
        <f t="shared" si="38"/>
        <v>98.543803853347953</v>
      </c>
      <c r="E119" s="6">
        <f t="shared" si="39"/>
        <v>72.123137514700034</v>
      </c>
      <c r="H119" s="6">
        <f t="shared" si="40"/>
        <v>67.150087959158938</v>
      </c>
      <c r="L119" s="6">
        <f t="shared" si="41"/>
        <v>98.517940588715959</v>
      </c>
      <c r="M119" s="6">
        <f t="shared" si="42"/>
        <v>72.104208472805041</v>
      </c>
      <c r="O119" s="6">
        <f t="shared" si="43"/>
        <v>67.132464116491633</v>
      </c>
      <c r="P119" s="6">
        <f t="shared" si="44"/>
        <v>205.29198844564937</v>
      </c>
      <c r="R119" s="6">
        <f t="shared" si="45"/>
        <v>72.090505819666873</v>
      </c>
      <c r="S119" s="6">
        <f t="shared" si="46"/>
        <v>67.169000086794142</v>
      </c>
      <c r="U119" s="6">
        <f t="shared" si="47"/>
        <v>8.8732569880875172</v>
      </c>
      <c r="V119" s="6">
        <f t="shared" si="48"/>
        <v>-0.84601334383481708</v>
      </c>
      <c r="AA119" s="1" t="s">
        <v>90</v>
      </c>
      <c r="AB119" s="6">
        <v>68</v>
      </c>
      <c r="AC119" s="10">
        <f t="shared" si="49"/>
        <v>1.1499999999999999</v>
      </c>
      <c r="AF119" s="6">
        <f t="shared" si="50"/>
        <v>67.915533439533405</v>
      </c>
      <c r="AG119" s="6">
        <f t="shared" si="51"/>
        <v>1.1195793393203575</v>
      </c>
      <c r="AI119" s="6">
        <f t="shared" si="52"/>
        <v>67.924561415562764</v>
      </c>
      <c r="AJ119" s="6">
        <f t="shared" si="53"/>
        <v>-0.16461098643462435</v>
      </c>
      <c r="AL119" s="6">
        <f t="shared" si="57"/>
        <v>67.924760877557844</v>
      </c>
      <c r="AM119" s="6">
        <f t="shared" si="54"/>
        <v>-2.423433596755971E-3</v>
      </c>
      <c r="AO119" s="6">
        <f t="shared" si="55"/>
        <v>67.924760877557844</v>
      </c>
      <c r="AP119" s="6">
        <f t="shared" si="56"/>
        <v>-1.648338580984916E-2</v>
      </c>
    </row>
    <row r="120" spans="1:42">
      <c r="A120" s="1" t="s">
        <v>91</v>
      </c>
      <c r="B120" s="6">
        <f t="shared" si="38"/>
        <v>131.6736060601956</v>
      </c>
      <c r="E120" s="6">
        <f t="shared" si="39"/>
        <v>74.930744131400076</v>
      </c>
      <c r="H120" s="6">
        <f t="shared" si="40"/>
        <v>108.27429111663687</v>
      </c>
      <c r="L120" s="6">
        <f t="shared" si="41"/>
        <v>131.63444896912051</v>
      </c>
      <c r="M120" s="6">
        <f t="shared" si="42"/>
        <v>74.908461230064972</v>
      </c>
      <c r="O120" s="6">
        <f t="shared" si="43"/>
        <v>108.24209251279211</v>
      </c>
      <c r="P120" s="6">
        <f t="shared" si="44"/>
        <v>168.65292006040255</v>
      </c>
      <c r="R120" s="6">
        <f t="shared" si="45"/>
        <v>74.892331703716792</v>
      </c>
      <c r="S120" s="6">
        <f t="shared" si="46"/>
        <v>108.27463751141673</v>
      </c>
      <c r="U120" s="6">
        <f t="shared" si="47"/>
        <v>1.9292642455225639</v>
      </c>
      <c r="V120" s="6">
        <f t="shared" si="48"/>
        <v>-1.5955796902774513</v>
      </c>
      <c r="AA120" s="1" t="s">
        <v>91</v>
      </c>
      <c r="AB120" s="6">
        <v>109</v>
      </c>
      <c r="AC120" s="10">
        <f t="shared" si="49"/>
        <v>1.1499999999999999</v>
      </c>
      <c r="AF120" s="6">
        <f t="shared" si="50"/>
        <v>109.06603884277717</v>
      </c>
      <c r="AG120" s="6">
        <f t="shared" si="51"/>
        <v>1.1041541756991353</v>
      </c>
      <c r="AI120" s="6">
        <f t="shared" si="52"/>
        <v>109.03973496657582</v>
      </c>
      <c r="AJ120" s="6">
        <f t="shared" si="53"/>
        <v>2.637457813272178</v>
      </c>
      <c r="AL120" s="6">
        <f t="shared" si="57"/>
        <v>109.07162777412782</v>
      </c>
      <c r="AM120" s="6">
        <f t="shared" si="54"/>
        <v>2.418332763082235E-2</v>
      </c>
      <c r="AO120" s="6">
        <f t="shared" si="55"/>
        <v>109.07162777412782</v>
      </c>
      <c r="AP120" s="6">
        <f t="shared" si="56"/>
        <v>1.0123375417729161E-2</v>
      </c>
    </row>
    <row r="121" spans="1:42">
      <c r="A121" s="1" t="s">
        <v>92</v>
      </c>
      <c r="B121" s="6">
        <f t="shared" si="38"/>
        <v>130.4328746151275</v>
      </c>
      <c r="E121" s="6">
        <f t="shared" si="39"/>
        <v>72.663247535240401</v>
      </c>
      <c r="H121" s="6">
        <f t="shared" si="40"/>
        <v>108.3179912941426</v>
      </c>
      <c r="L121" s="6">
        <f t="shared" si="41"/>
        <v>130.39124589090213</v>
      </c>
      <c r="M121" s="6">
        <f t="shared" si="42"/>
        <v>72.640056462423146</v>
      </c>
      <c r="O121" s="6">
        <f t="shared" si="43"/>
        <v>108.28342071673613</v>
      </c>
      <c r="P121" s="6">
        <f t="shared" si="44"/>
        <v>167.61825588567015</v>
      </c>
      <c r="R121" s="6">
        <f t="shared" si="45"/>
        <v>72.62327018458268</v>
      </c>
      <c r="S121" s="6">
        <f t="shared" si="46"/>
        <v>108.3183390082142</v>
      </c>
      <c r="U121" s="6">
        <f t="shared" si="47"/>
        <v>1.8947979724952255</v>
      </c>
      <c r="V121" s="6">
        <f t="shared" si="48"/>
        <v>-1.5750388767014518</v>
      </c>
      <c r="AA121" s="1" t="s">
        <v>92</v>
      </c>
      <c r="AB121" s="6">
        <v>109</v>
      </c>
      <c r="AC121" s="10">
        <f t="shared" si="49"/>
        <v>1.1499999999999999</v>
      </c>
      <c r="AF121" s="6">
        <f t="shared" si="50"/>
        <v>109.07722080141072</v>
      </c>
      <c r="AG121" s="6">
        <f t="shared" si="51"/>
        <v>1.1645336259949961</v>
      </c>
      <c r="AI121" s="6">
        <f t="shared" si="52"/>
        <v>109.08281241114584</v>
      </c>
      <c r="AJ121" s="6">
        <f t="shared" si="53"/>
        <v>0.36915146016994527</v>
      </c>
      <c r="AL121" s="6">
        <f t="shared" si="57"/>
        <v>109.08343703938641</v>
      </c>
      <c r="AM121" s="6">
        <f t="shared" si="54"/>
        <v>3.3841266355033144E-3</v>
      </c>
      <c r="AO121" s="6">
        <f t="shared" si="55"/>
        <v>109.08343703938641</v>
      </c>
      <c r="AP121" s="6">
        <f t="shared" si="56"/>
        <v>-1.0675825577589875E-2</v>
      </c>
    </row>
    <row r="122" spans="1:42">
      <c r="A122" s="1" t="s">
        <v>93</v>
      </c>
      <c r="B122" s="6">
        <f t="shared" si="38"/>
        <v>125.05096003035187</v>
      </c>
      <c r="E122" s="6">
        <f t="shared" si="39"/>
        <v>62.304833676803298</v>
      </c>
      <c r="H122" s="6">
        <f t="shared" si="40"/>
        <v>108.42439903000864</v>
      </c>
      <c r="L122" s="6">
        <f t="shared" si="41"/>
        <v>125.02055865476341</v>
      </c>
      <c r="M122" s="6">
        <f t="shared" si="42"/>
        <v>62.28968663075802</v>
      </c>
      <c r="O122" s="6">
        <f t="shared" si="43"/>
        <v>108.39803976913559</v>
      </c>
      <c r="P122" s="6">
        <f t="shared" si="44"/>
        <v>163.304254445429</v>
      </c>
      <c r="R122" s="6">
        <f t="shared" si="45"/>
        <v>62.278721382652606</v>
      </c>
      <c r="S122" s="6">
        <f t="shared" si="46"/>
        <v>108.42461931222951</v>
      </c>
      <c r="U122" s="6">
        <f t="shared" si="47"/>
        <v>1.7449212628568858</v>
      </c>
      <c r="V122" s="6">
        <f t="shared" si="48"/>
        <v>-1.4807484919347014</v>
      </c>
      <c r="AA122" s="1" t="s">
        <v>93</v>
      </c>
      <c r="AB122" s="6">
        <v>109</v>
      </c>
      <c r="AC122" s="10">
        <f t="shared" si="49"/>
        <v>11.5</v>
      </c>
      <c r="AF122" s="6">
        <f t="shared" si="50"/>
        <v>109.04145981336229</v>
      </c>
      <c r="AG122" s="6">
        <f t="shared" si="51"/>
        <v>11.515885140350944</v>
      </c>
      <c r="AI122" s="6">
        <f t="shared" si="52"/>
        <v>109.19258967027939</v>
      </c>
      <c r="AJ122" s="6">
        <f t="shared" si="53"/>
        <v>-9.9816797129969004</v>
      </c>
      <c r="AL122" s="6">
        <f t="shared" si="57"/>
        <v>109.64787079006531</v>
      </c>
      <c r="AM122" s="6">
        <f t="shared" si="54"/>
        <v>-9.1160165492422465E-2</v>
      </c>
      <c r="AO122" s="6">
        <f t="shared" si="55"/>
        <v>109.64787079006531</v>
      </c>
      <c r="AP122" s="6">
        <f t="shared" si="56"/>
        <v>-0.10522011770551565</v>
      </c>
    </row>
    <row r="123" spans="1:42">
      <c r="A123" s="1" t="s">
        <v>94</v>
      </c>
      <c r="B123" s="6">
        <f t="shared" si="38"/>
        <v>172.10639775336506</v>
      </c>
      <c r="E123" s="6">
        <f t="shared" si="39"/>
        <v>85.879714844688436</v>
      </c>
      <c r="H123" s="6">
        <f t="shared" si="40"/>
        <v>149.14853913409445</v>
      </c>
      <c r="L123" s="6">
        <f t="shared" si="41"/>
        <v>172.08040687233674</v>
      </c>
      <c r="M123" s="6">
        <f t="shared" si="42"/>
        <v>85.866745603100597</v>
      </c>
      <c r="O123" s="6">
        <f t="shared" si="43"/>
        <v>149.12601526521576</v>
      </c>
      <c r="P123" s="6">
        <f t="shared" si="44"/>
        <v>139.73657843427046</v>
      </c>
      <c r="R123" s="6">
        <f t="shared" si="45"/>
        <v>85.857355419926307</v>
      </c>
      <c r="S123" s="6">
        <f t="shared" si="46"/>
        <v>149.13807314439077</v>
      </c>
      <c r="U123" s="6">
        <f t="shared" si="47"/>
        <v>1.0884446381172583</v>
      </c>
      <c r="V123" s="6">
        <f t="shared" si="48"/>
        <v>-4.1642324851828585</v>
      </c>
      <c r="AA123" s="1" t="s">
        <v>94</v>
      </c>
      <c r="AB123" s="6">
        <v>150</v>
      </c>
      <c r="AC123" s="10">
        <f t="shared" si="49"/>
        <v>11.5</v>
      </c>
      <c r="AF123" s="6">
        <f t="shared" si="50"/>
        <v>150.08847000639639</v>
      </c>
      <c r="AG123" s="6">
        <f t="shared" si="51"/>
        <v>11.484453979661341</v>
      </c>
      <c r="AI123" s="6">
        <f t="shared" si="52"/>
        <v>149.91216978287292</v>
      </c>
      <c r="AJ123" s="6">
        <f t="shared" si="53"/>
        <v>13.593486052627952</v>
      </c>
      <c r="AL123" s="6">
        <f t="shared" si="57"/>
        <v>150.52721186573513</v>
      </c>
      <c r="AM123" s="6">
        <f t="shared" si="54"/>
        <v>9.0429033788944124E-2</v>
      </c>
      <c r="AO123" s="6">
        <f t="shared" si="55"/>
        <v>150.52721186573513</v>
      </c>
      <c r="AP123" s="6">
        <f t="shared" si="56"/>
        <v>7.6369081575850928E-2</v>
      </c>
    </row>
    <row r="124" spans="1:42">
      <c r="A124" s="1" t="s">
        <v>95</v>
      </c>
      <c r="B124" s="6">
        <f t="shared" si="38"/>
        <v>167.37019576530099</v>
      </c>
      <c r="E124" s="6">
        <f t="shared" si="39"/>
        <v>75.511260479982099</v>
      </c>
      <c r="H124" s="6">
        <f t="shared" si="40"/>
        <v>149.3681089498005</v>
      </c>
      <c r="L124" s="6">
        <f t="shared" si="41"/>
        <v>167.40024375741496</v>
      </c>
      <c r="M124" s="6">
        <f t="shared" si="42"/>
        <v>75.524817025991041</v>
      </c>
      <c r="O124" s="6">
        <f t="shared" si="43"/>
        <v>149.39492502502392</v>
      </c>
      <c r="P124" s="6">
        <f t="shared" si="44"/>
        <v>133.44243981069411</v>
      </c>
      <c r="R124" s="6">
        <f t="shared" si="45"/>
        <v>75.534638033775778</v>
      </c>
      <c r="S124" s="6">
        <f t="shared" si="46"/>
        <v>149.38062200428016</v>
      </c>
      <c r="U124" s="6">
        <f t="shared" si="47"/>
        <v>0.97688187087281297</v>
      </c>
      <c r="V124" s="6">
        <f t="shared" si="48"/>
        <v>-4.1073569385894722</v>
      </c>
      <c r="AA124" s="1" t="s">
        <v>95</v>
      </c>
      <c r="AB124" s="6">
        <v>150</v>
      </c>
      <c r="AC124" s="10">
        <f t="shared" si="49"/>
        <v>1.1499999999999999</v>
      </c>
      <c r="AF124" s="6">
        <f t="shared" si="50"/>
        <v>150.18989523445552</v>
      </c>
      <c r="AG124" s="6">
        <f t="shared" si="51"/>
        <v>1.1415825595053932</v>
      </c>
      <c r="AI124" s="6">
        <f t="shared" si="52"/>
        <v>150.15900047290606</v>
      </c>
      <c r="AJ124" s="6">
        <f t="shared" si="53"/>
        <v>3.2530629035869367</v>
      </c>
      <c r="AL124" s="6">
        <f t="shared" si="57"/>
        <v>150.19423371513599</v>
      </c>
      <c r="AM124" s="6">
        <f t="shared" si="54"/>
        <v>2.1660733702745003E-2</v>
      </c>
      <c r="AO124" s="6">
        <f t="shared" si="55"/>
        <v>150.19423371513599</v>
      </c>
      <c r="AP124" s="6">
        <f t="shared" si="56"/>
        <v>7.600781489651813E-3</v>
      </c>
    </row>
    <row r="125" spans="1:42">
      <c r="A125" s="1" t="s">
        <v>97</v>
      </c>
      <c r="B125" s="6">
        <f t="shared" si="38"/>
        <v>166.42066773936796</v>
      </c>
      <c r="E125" s="6">
        <f t="shared" si="39"/>
        <v>73.249747104760374</v>
      </c>
      <c r="H125" s="6">
        <f t="shared" si="40"/>
        <v>149.43330686264611</v>
      </c>
      <c r="L125" s="6">
        <f t="shared" si="41"/>
        <v>166.4267708526701</v>
      </c>
      <c r="M125" s="6">
        <f t="shared" si="42"/>
        <v>73.252433378719047</v>
      </c>
      <c r="O125" s="6">
        <f t="shared" si="43"/>
        <v>149.43878700171348</v>
      </c>
      <c r="P125" s="6">
        <f t="shared" si="44"/>
        <v>132.1190967829049</v>
      </c>
      <c r="R125" s="6">
        <f t="shared" si="45"/>
        <v>73.254378964275801</v>
      </c>
      <c r="S125" s="6">
        <f t="shared" si="46"/>
        <v>149.435866775786</v>
      </c>
      <c r="U125" s="6">
        <f t="shared" si="47"/>
        <v>0.95203755517618749</v>
      </c>
      <c r="V125" s="6">
        <f t="shared" si="48"/>
        <v>-4.1024241683360803</v>
      </c>
      <c r="AA125" s="1" t="s">
        <v>97</v>
      </c>
      <c r="AB125" s="6">
        <v>150</v>
      </c>
      <c r="AC125" s="10">
        <f t="shared" si="49"/>
        <v>1.1499999999999999</v>
      </c>
      <c r="AF125" s="6">
        <f t="shared" si="50"/>
        <v>150.21141750396717</v>
      </c>
      <c r="AG125" s="6">
        <f t="shared" si="51"/>
        <v>1.1319744567148724</v>
      </c>
      <c r="AI125" s="6">
        <f t="shared" si="52"/>
        <v>150.21248566499099</v>
      </c>
      <c r="AJ125" s="6">
        <f t="shared" si="53"/>
        <v>0.98003319671617817</v>
      </c>
      <c r="AL125" s="6">
        <f t="shared" si="57"/>
        <v>150.21568265238417</v>
      </c>
      <c r="AM125" s="6">
        <f t="shared" si="54"/>
        <v>6.5242199218988684E-3</v>
      </c>
      <c r="AO125" s="6">
        <f t="shared" si="55"/>
        <v>150.21568265238417</v>
      </c>
      <c r="AP125" s="6">
        <f t="shared" si="56"/>
        <v>-7.5357322911943211E-3</v>
      </c>
    </row>
    <row r="126" spans="1:42">
      <c r="A126" s="1" t="s">
        <v>98</v>
      </c>
      <c r="B126" s="6">
        <f t="shared" si="38"/>
        <v>204.90893234860101</v>
      </c>
      <c r="E126" s="6">
        <f t="shared" si="39"/>
        <v>76.113189285721845</v>
      </c>
      <c r="H126" s="6">
        <f t="shared" si="40"/>
        <v>190.24839808261046</v>
      </c>
      <c r="L126" s="6">
        <f t="shared" si="41"/>
        <v>204.83727022945905</v>
      </c>
      <c r="M126" s="6">
        <f t="shared" si="42"/>
        <v>76.086570473275003</v>
      </c>
      <c r="O126" s="6">
        <f t="shared" si="43"/>
        <v>190.18186314333914</v>
      </c>
      <c r="P126" s="6">
        <f t="shared" si="44"/>
        <v>102.82587490489217</v>
      </c>
      <c r="R126" s="6">
        <f t="shared" si="45"/>
        <v>76.067304127451195</v>
      </c>
      <c r="S126" s="6">
        <f t="shared" si="46"/>
        <v>190.19938699927292</v>
      </c>
      <c r="U126" s="6">
        <f t="shared" si="47"/>
        <v>0.63606879354811396</v>
      </c>
      <c r="V126" s="6">
        <f t="shared" si="48"/>
        <v>24.906860110488651</v>
      </c>
      <c r="AA126" s="1" t="s">
        <v>98</v>
      </c>
      <c r="AB126" s="6">
        <v>191</v>
      </c>
      <c r="AC126" s="10">
        <f t="shared" si="49"/>
        <v>1.1499999999999999</v>
      </c>
      <c r="AF126" s="6">
        <f t="shared" si="50"/>
        <v>191.01086613840741</v>
      </c>
      <c r="AG126" s="6">
        <f t="shared" si="51"/>
        <v>1.1244319308861559</v>
      </c>
      <c r="AI126" s="6">
        <f t="shared" si="52"/>
        <v>190.97617778158386</v>
      </c>
      <c r="AJ126" s="6">
        <f t="shared" si="53"/>
        <v>3.8098359608604397</v>
      </c>
      <c r="AL126" s="6">
        <f t="shared" si="57"/>
        <v>191.01417573078652</v>
      </c>
      <c r="AM126" s="6">
        <f t="shared" si="54"/>
        <v>1.9946627486051135E-2</v>
      </c>
      <c r="AO126" s="6">
        <f t="shared" si="55"/>
        <v>191.01417573078652</v>
      </c>
      <c r="AP126" s="6">
        <f t="shared" si="56"/>
        <v>5.8866752729579454E-3</v>
      </c>
    </row>
    <row r="127" spans="1:42">
      <c r="A127" s="1" t="s">
        <v>99</v>
      </c>
      <c r="B127" s="6">
        <f t="shared" si="38"/>
        <v>204.0470817725344</v>
      </c>
      <c r="E127" s="6">
        <f t="shared" si="39"/>
        <v>73.805039334539416</v>
      </c>
      <c r="H127" s="6">
        <f t="shared" si="40"/>
        <v>190.23151092475302</v>
      </c>
      <c r="L127" s="6">
        <f t="shared" si="41"/>
        <v>204.04494015941842</v>
      </c>
      <c r="M127" s="6">
        <f t="shared" si="42"/>
        <v>73.80426470037709</v>
      </c>
      <c r="O127" s="6">
        <f t="shared" si="43"/>
        <v>190.22951431546397</v>
      </c>
      <c r="P127" s="6">
        <f t="shared" si="44"/>
        <v>101.14183999534458</v>
      </c>
      <c r="R127" s="6">
        <f t="shared" si="45"/>
        <v>73.803703702320192</v>
      </c>
      <c r="S127" s="6">
        <f t="shared" si="46"/>
        <v>190.230039992608</v>
      </c>
      <c r="U127" s="6">
        <f t="shared" si="47"/>
        <v>0.61815521178543187</v>
      </c>
      <c r="V127" s="6">
        <f t="shared" si="48"/>
        <v>24.780977793553202</v>
      </c>
      <c r="AA127" s="1" t="s">
        <v>99</v>
      </c>
      <c r="AB127" s="6">
        <v>191</v>
      </c>
      <c r="AC127" s="10">
        <f t="shared" si="49"/>
        <v>1.1499999999999999</v>
      </c>
      <c r="AF127" s="6">
        <f t="shared" si="50"/>
        <v>191.00889653396641</v>
      </c>
      <c r="AG127" s="6">
        <f t="shared" si="51"/>
        <v>1.1540249930269519</v>
      </c>
      <c r="AI127" s="6">
        <f t="shared" si="52"/>
        <v>191.00624231183946</v>
      </c>
      <c r="AJ127" s="6">
        <f t="shared" si="53"/>
        <v>1.5315765468582185</v>
      </c>
      <c r="AL127" s="6">
        <f t="shared" si="57"/>
        <v>191.01238265831881</v>
      </c>
      <c r="AM127" s="6">
        <f t="shared" si="54"/>
        <v>8.0182914702918665E-3</v>
      </c>
      <c r="AO127" s="6">
        <f t="shared" si="55"/>
        <v>191.01238265831881</v>
      </c>
      <c r="AP127" s="6">
        <f t="shared" si="56"/>
        <v>-6.041660742801323E-3</v>
      </c>
    </row>
    <row r="128" spans="1:42">
      <c r="A128" s="1" t="s">
        <v>100</v>
      </c>
      <c r="B128" s="6">
        <f t="shared" si="38"/>
        <v>200.74463032697969</v>
      </c>
      <c r="E128" s="6">
        <f t="shared" si="39"/>
        <v>63.470116460244078</v>
      </c>
      <c r="H128" s="6">
        <f t="shared" si="40"/>
        <v>190.44671412665218</v>
      </c>
      <c r="L128" s="6">
        <f t="shared" si="41"/>
        <v>200.68357302078672</v>
      </c>
      <c r="M128" s="6">
        <f t="shared" si="42"/>
        <v>63.450811762885529</v>
      </c>
      <c r="O128" s="6">
        <f t="shared" si="43"/>
        <v>190.38878897408929</v>
      </c>
      <c r="P128" s="6">
        <f t="shared" si="44"/>
        <v>93.717068353707305</v>
      </c>
      <c r="R128" s="6">
        <f t="shared" si="45"/>
        <v>63.436838179158521</v>
      </c>
      <c r="S128" s="6">
        <f t="shared" si="46"/>
        <v>190.40398424507157</v>
      </c>
      <c r="U128" s="6">
        <f t="shared" si="47"/>
        <v>0.53555877994750867</v>
      </c>
      <c r="V128" s="6">
        <f t="shared" si="48"/>
        <v>24.419524054918945</v>
      </c>
      <c r="AA128" s="1" t="s">
        <v>100</v>
      </c>
      <c r="AB128" s="6">
        <v>191</v>
      </c>
      <c r="AC128" s="10">
        <f t="shared" si="49"/>
        <v>11.5</v>
      </c>
      <c r="AF128" s="6">
        <f t="shared" si="50"/>
        <v>191.03763152139157</v>
      </c>
      <c r="AG128" s="6">
        <f t="shared" si="51"/>
        <v>11.512128596370721</v>
      </c>
      <c r="AI128" s="6">
        <f t="shared" si="52"/>
        <v>191.18060410261737</v>
      </c>
      <c r="AJ128" s="6">
        <f t="shared" si="53"/>
        <v>-8.8250992674666762</v>
      </c>
      <c r="AL128" s="6">
        <f t="shared" si="57"/>
        <v>191.38418367807293</v>
      </c>
      <c r="AM128" s="6">
        <f t="shared" si="54"/>
        <v>-4.6128314162187545E-2</v>
      </c>
      <c r="AO128" s="6">
        <f t="shared" si="55"/>
        <v>191.38418367807293</v>
      </c>
      <c r="AP128" s="6">
        <f t="shared" si="56"/>
        <v>-6.0188266375280734E-2</v>
      </c>
    </row>
    <row r="129" spans="1:42">
      <c r="A129" s="1" t="s">
        <v>101</v>
      </c>
      <c r="B129" s="6">
        <f t="shared" si="38"/>
        <v>246.94724683060412</v>
      </c>
      <c r="E129" s="6">
        <f t="shared" si="39"/>
        <v>86.987179530096967</v>
      </c>
      <c r="H129" s="6">
        <f t="shared" si="40"/>
        <v>231.11939190516662</v>
      </c>
      <c r="L129" s="6">
        <f t="shared" si="41"/>
        <v>246.91620302550243</v>
      </c>
      <c r="M129" s="6">
        <f t="shared" si="42"/>
        <v>86.976244348262227</v>
      </c>
      <c r="O129" s="6">
        <f t="shared" si="43"/>
        <v>231.09033782398285</v>
      </c>
      <c r="P129" s="6">
        <f t="shared" si="44"/>
        <v>91.455153696820148</v>
      </c>
      <c r="R129" s="6">
        <f t="shared" si="45"/>
        <v>86.968326549795407</v>
      </c>
      <c r="S129" s="6">
        <f t="shared" si="46"/>
        <v>231.09291378331599</v>
      </c>
      <c r="U129" s="6">
        <f t="shared" si="47"/>
        <v>0.53256792847251644</v>
      </c>
      <c r="V129" s="6">
        <f t="shared" si="48"/>
        <v>3.0302242316501227</v>
      </c>
      <c r="AA129" s="1" t="s">
        <v>101</v>
      </c>
      <c r="AB129" s="6">
        <v>232</v>
      </c>
      <c r="AC129" s="10">
        <f t="shared" si="49"/>
        <v>11.5</v>
      </c>
      <c r="AF129" s="6">
        <f t="shared" si="50"/>
        <v>232.05477881439089</v>
      </c>
      <c r="AG129" s="6">
        <f t="shared" si="51"/>
        <v>11.440085992399464</v>
      </c>
      <c r="AI129" s="6">
        <f t="shared" si="52"/>
        <v>231.87100087312706</v>
      </c>
      <c r="AJ129" s="6">
        <f t="shared" si="53"/>
        <v>14.70152686640661</v>
      </c>
      <c r="AL129" s="6">
        <f t="shared" si="57"/>
        <v>232.3366005133702</v>
      </c>
      <c r="AM129" s="6">
        <f t="shared" si="54"/>
        <v>6.3319146752623887E-2</v>
      </c>
      <c r="AO129" s="6">
        <f t="shared" si="55"/>
        <v>232.3366005133702</v>
      </c>
      <c r="AP129" s="6">
        <f t="shared" si="56"/>
        <v>4.9259194539530697E-2</v>
      </c>
    </row>
    <row r="130" spans="1:42">
      <c r="A130" s="1" t="s">
        <v>102</v>
      </c>
      <c r="B130" s="6">
        <f t="shared" si="38"/>
        <v>243.69733486063268</v>
      </c>
      <c r="E130" s="6">
        <f t="shared" si="39"/>
        <v>76.747919192318022</v>
      </c>
      <c r="H130" s="6">
        <f t="shared" si="40"/>
        <v>231.29666646500715</v>
      </c>
      <c r="L130" s="6">
        <f t="shared" si="41"/>
        <v>243.6279074483723</v>
      </c>
      <c r="M130" s="6">
        <f t="shared" si="42"/>
        <v>76.726054326914635</v>
      </c>
      <c r="O130" s="6">
        <f t="shared" si="43"/>
        <v>231.23077190351634</v>
      </c>
      <c r="P130" s="6">
        <f t="shared" si="44"/>
        <v>81.712331249779908</v>
      </c>
      <c r="R130" s="6">
        <f t="shared" si="45"/>
        <v>76.710227055962307</v>
      </c>
      <c r="S130" s="6">
        <f t="shared" si="46"/>
        <v>231.23658005115257</v>
      </c>
      <c r="U130" s="6">
        <f t="shared" si="47"/>
        <v>0.47116843150774074</v>
      </c>
      <c r="V130" s="6">
        <f t="shared" si="48"/>
        <v>2.9250638921430965</v>
      </c>
      <c r="AA130" s="1" t="s">
        <v>102</v>
      </c>
      <c r="AB130" s="6">
        <v>232</v>
      </c>
      <c r="AC130" s="10">
        <f t="shared" si="49"/>
        <v>1.1499999999999999</v>
      </c>
      <c r="AF130" s="6">
        <f t="shared" si="50"/>
        <v>232.05620384138962</v>
      </c>
      <c r="AG130" s="6">
        <f t="shared" si="51"/>
        <v>1.186370849535143</v>
      </c>
      <c r="AI130" s="6">
        <f t="shared" si="52"/>
        <v>232.01658775437124</v>
      </c>
      <c r="AJ130" s="6">
        <f t="shared" si="53"/>
        <v>4.4488452307701749</v>
      </c>
      <c r="AL130" s="6">
        <f t="shared" si="57"/>
        <v>232.05923643989954</v>
      </c>
      <c r="AM130" s="6">
        <f t="shared" si="54"/>
        <v>1.9172336601134248E-2</v>
      </c>
      <c r="AO130" s="6">
        <f t="shared" si="55"/>
        <v>232.05923643989954</v>
      </c>
      <c r="AP130" s="6">
        <f t="shared" si="56"/>
        <v>5.1123843880410587E-3</v>
      </c>
    </row>
    <row r="131" spans="1:42">
      <c r="A131" s="1" t="s">
        <v>103</v>
      </c>
      <c r="B131" s="6">
        <f t="shared" si="38"/>
        <v>243.10813235921154</v>
      </c>
      <c r="E131" s="6">
        <f t="shared" si="39"/>
        <v>74.505519615936834</v>
      </c>
      <c r="H131" s="6">
        <f t="shared" si="40"/>
        <v>231.40979142193436</v>
      </c>
      <c r="L131" s="6">
        <f t="shared" si="41"/>
        <v>242.94321375529992</v>
      </c>
      <c r="M131" s="6">
        <f t="shared" si="42"/>
        <v>74.454976895874253</v>
      </c>
      <c r="O131" s="6">
        <f t="shared" si="43"/>
        <v>231.2528086860529</v>
      </c>
      <c r="P131" s="6">
        <f t="shared" si="44"/>
        <v>79.554108011878697</v>
      </c>
      <c r="R131" s="6">
        <f t="shared" si="45"/>
        <v>74.418415467706453</v>
      </c>
      <c r="S131" s="6">
        <f t="shared" si="46"/>
        <v>231.26662409850303</v>
      </c>
      <c r="U131" s="6">
        <f t="shared" si="47"/>
        <v>0.45744875410606506</v>
      </c>
      <c r="V131" s="6">
        <f t="shared" si="48"/>
        <v>2.9055836413331431</v>
      </c>
      <c r="AA131" s="1" t="s">
        <v>103</v>
      </c>
      <c r="AB131" s="6">
        <v>232</v>
      </c>
      <c r="AC131" s="10">
        <f t="shared" si="49"/>
        <v>1.1499999999999999</v>
      </c>
      <c r="AF131" s="6">
        <f t="shared" si="50"/>
        <v>232.05923123363888</v>
      </c>
      <c r="AG131" s="6">
        <f t="shared" si="51"/>
        <v>1.0912401779868566</v>
      </c>
      <c r="AI131" s="6">
        <f t="shared" si="52"/>
        <v>232.05163689454545</v>
      </c>
      <c r="AJ131" s="6">
        <f t="shared" si="53"/>
        <v>2.1715018847710041</v>
      </c>
      <c r="AL131" s="6">
        <f t="shared" si="57"/>
        <v>232.06179695476274</v>
      </c>
      <c r="AM131" s="6">
        <f t="shared" si="54"/>
        <v>9.3575659781322106E-3</v>
      </c>
      <c r="AO131" s="6">
        <f t="shared" si="55"/>
        <v>232.06179695476274</v>
      </c>
      <c r="AP131" s="6">
        <f t="shared" si="56"/>
        <v>-4.7023862349609789E-3</v>
      </c>
    </row>
    <row r="132" spans="1:42">
      <c r="A132" s="1" t="s">
        <v>104</v>
      </c>
      <c r="B132" s="6">
        <f t="shared" si="38"/>
        <v>269.87030680301871</v>
      </c>
      <c r="E132" s="6">
        <f t="shared" si="39"/>
        <v>77.226689482221403</v>
      </c>
      <c r="H132" s="6">
        <f t="shared" si="40"/>
        <v>258.58464943915754</v>
      </c>
      <c r="L132" s="6">
        <f t="shared" si="41"/>
        <v>269.58811498902406</v>
      </c>
      <c r="M132" s="6">
        <f t="shared" si="42"/>
        <v>77.145936842733363</v>
      </c>
      <c r="O132" s="6">
        <f t="shared" si="43"/>
        <v>258.31425855339899</v>
      </c>
      <c r="P132" s="6">
        <f t="shared" si="44"/>
        <v>77.095011670948239</v>
      </c>
      <c r="R132" s="6">
        <f t="shared" si="45"/>
        <v>77.08755925110583</v>
      </c>
      <c r="S132" s="6">
        <f t="shared" si="46"/>
        <v>258.31507031438935</v>
      </c>
      <c r="U132" s="6">
        <f t="shared" si="47"/>
        <v>0.40328199979725737</v>
      </c>
      <c r="V132" s="6">
        <f t="shared" si="48"/>
        <v>1.6674091054029889</v>
      </c>
      <c r="AA132" s="1" t="s">
        <v>104</v>
      </c>
      <c r="AB132" s="6">
        <v>259</v>
      </c>
      <c r="AC132" s="10">
        <f t="shared" si="49"/>
        <v>1.25</v>
      </c>
      <c r="AF132" s="6">
        <f t="shared" si="50"/>
        <v>259.15796369243463</v>
      </c>
      <c r="AG132" s="6">
        <f t="shared" si="51"/>
        <v>1.2116024830039467</v>
      </c>
      <c r="AI132" s="6">
        <f t="shared" si="52"/>
        <v>259.11531413715426</v>
      </c>
      <c r="AJ132" s="6">
        <f t="shared" si="53"/>
        <v>4.8551112644250054</v>
      </c>
      <c r="AL132" s="6">
        <f t="shared" si="57"/>
        <v>259.16079588893473</v>
      </c>
      <c r="AM132" s="6">
        <f t="shared" si="54"/>
        <v>1.8735068649849859E-2</v>
      </c>
      <c r="AO132" s="6">
        <f t="shared" si="55"/>
        <v>259.16079588893473</v>
      </c>
      <c r="AP132" s="6">
        <f t="shared" si="56"/>
        <v>4.675116436756669E-3</v>
      </c>
    </row>
    <row r="133" spans="1:42">
      <c r="A133" s="1" t="s">
        <v>105</v>
      </c>
      <c r="B133" s="6">
        <f t="shared" si="38"/>
        <v>268.98065473206697</v>
      </c>
      <c r="E133" s="6">
        <f t="shared" si="39"/>
        <v>74.659931534202912</v>
      </c>
      <c r="H133" s="6">
        <f t="shared" si="40"/>
        <v>258.41146886970699</v>
      </c>
      <c r="L133" s="6">
        <f t="shared" si="41"/>
        <v>268.91571202755273</v>
      </c>
      <c r="M133" s="6">
        <f t="shared" si="42"/>
        <v>74.641905636104369</v>
      </c>
      <c r="O133" s="6">
        <f t="shared" si="43"/>
        <v>258.34907799002605</v>
      </c>
      <c r="P133" s="6">
        <f t="shared" si="44"/>
        <v>74.63607101745086</v>
      </c>
      <c r="R133" s="6">
        <f t="shared" si="45"/>
        <v>74.628856292080769</v>
      </c>
      <c r="S133" s="6">
        <f t="shared" si="46"/>
        <v>258.3492594457548</v>
      </c>
      <c r="U133" s="6">
        <f t="shared" si="47"/>
        <v>0.39047025977807914</v>
      </c>
      <c r="V133" s="6">
        <f t="shared" si="48"/>
        <v>1.6427727583945906</v>
      </c>
      <c r="AA133" s="1" t="s">
        <v>105</v>
      </c>
      <c r="AB133" s="6">
        <v>259</v>
      </c>
      <c r="AC133" s="10">
        <f t="shared" si="49"/>
        <v>1.25</v>
      </c>
      <c r="AF133" s="6">
        <f t="shared" si="50"/>
        <v>259.13850260971338</v>
      </c>
      <c r="AG133" s="6">
        <f t="shared" si="51"/>
        <v>1.2782897337888222</v>
      </c>
      <c r="AI133" s="6">
        <f t="shared" si="52"/>
        <v>259.13086159014961</v>
      </c>
      <c r="AJ133" s="6">
        <f t="shared" si="53"/>
        <v>2.3651915344555334</v>
      </c>
      <c r="AL133" s="6">
        <f t="shared" si="57"/>
        <v>259.14165539227372</v>
      </c>
      <c r="AM133" s="6">
        <f t="shared" si="54"/>
        <v>9.1271485081960268E-3</v>
      </c>
      <c r="AO133" s="6">
        <f t="shared" si="55"/>
        <v>259.14165539227372</v>
      </c>
      <c r="AP133" s="6">
        <f t="shared" si="56"/>
        <v>-4.9328037048971627E-3</v>
      </c>
    </row>
    <row r="134" spans="1:42">
      <c r="A134" s="1" t="s">
        <v>106</v>
      </c>
      <c r="B134" s="6">
        <f t="shared" si="38"/>
        <v>322.75172458330326</v>
      </c>
      <c r="E134" s="6">
        <f t="shared" si="39"/>
        <v>77.816503173065271</v>
      </c>
      <c r="H134" s="6">
        <f t="shared" si="40"/>
        <v>313.23037457343236</v>
      </c>
      <c r="L134" s="6">
        <f t="shared" si="41"/>
        <v>322.64247082506517</v>
      </c>
      <c r="M134" s="6">
        <f t="shared" si="42"/>
        <v>77.790161732332209</v>
      </c>
      <c r="O134" s="6">
        <f t="shared" si="43"/>
        <v>313.12434386000814</v>
      </c>
      <c r="P134" s="6">
        <f t="shared" si="44"/>
        <v>94.523172374520286</v>
      </c>
      <c r="R134" s="6">
        <f t="shared" si="45"/>
        <v>77.771095775638685</v>
      </c>
      <c r="S134" s="6">
        <f t="shared" si="46"/>
        <v>313.11117312160059</v>
      </c>
      <c r="U134" s="6">
        <f t="shared" si="47"/>
        <v>0.31342892305470549</v>
      </c>
      <c r="V134" s="6">
        <f t="shared" si="48"/>
        <v>0.78433504993741932</v>
      </c>
      <c r="AA134" s="1" t="s">
        <v>106</v>
      </c>
      <c r="AB134" s="6">
        <v>314</v>
      </c>
      <c r="AC134" s="10">
        <f t="shared" si="49"/>
        <v>1.1499999999999999</v>
      </c>
      <c r="AF134" s="6">
        <f t="shared" si="50"/>
        <v>313.95091326238395</v>
      </c>
      <c r="AG134" s="6">
        <f t="shared" si="51"/>
        <v>1.0980521384900763</v>
      </c>
      <c r="AI134" s="6">
        <f t="shared" si="52"/>
        <v>313.90444445918973</v>
      </c>
      <c r="AJ134" s="6">
        <f t="shared" si="53"/>
        <v>5.511933014040423</v>
      </c>
      <c r="AL134" s="6">
        <f>IF(C97=0,0,SQRT(AI134^2+AJ134^2))</f>
        <v>313.95283349061174</v>
      </c>
      <c r="AM134" s="6">
        <f t="shared" si="54"/>
        <v>1.7557466043299639E-2</v>
      </c>
      <c r="AO134" s="6">
        <f t="shared" si="55"/>
        <v>313.95283349061174</v>
      </c>
      <c r="AP134" s="6">
        <f t="shared" si="56"/>
        <v>3.4975138302064494E-3</v>
      </c>
    </row>
    <row r="135" spans="1:42">
      <c r="A135" s="1" t="s">
        <v>107</v>
      </c>
      <c r="B135" s="6">
        <f t="shared" si="38"/>
        <v>322.16774282958596</v>
      </c>
      <c r="E135" s="6">
        <f t="shared" si="39"/>
        <v>75.554796641099927</v>
      </c>
      <c r="H135" s="6">
        <f t="shared" si="40"/>
        <v>313.18289740091535</v>
      </c>
      <c r="L135" s="6">
        <f t="shared" si="41"/>
        <v>322.17273693611367</v>
      </c>
      <c r="M135" s="6">
        <f t="shared" si="42"/>
        <v>75.555967859235523</v>
      </c>
      <c r="O135" s="6">
        <f t="shared" si="43"/>
        <v>313.1877522282129</v>
      </c>
      <c r="P135" s="6">
        <f t="shared" si="44"/>
        <v>92.754613861993406</v>
      </c>
      <c r="R135" s="6">
        <f t="shared" si="45"/>
        <v>75.556816105521591</v>
      </c>
      <c r="S135" s="6">
        <f t="shared" si="46"/>
        <v>313.1883562346145</v>
      </c>
      <c r="U135" s="6">
        <f t="shared" si="47"/>
        <v>0.30444292921851301</v>
      </c>
      <c r="V135" s="6">
        <f t="shared" si="48"/>
        <v>0.76522628999322595</v>
      </c>
      <c r="AA135" s="1" t="s">
        <v>107</v>
      </c>
      <c r="AB135" s="6">
        <v>314</v>
      </c>
      <c r="AC135" s="10">
        <f t="shared" si="49"/>
        <v>1.1499999999999999</v>
      </c>
      <c r="AF135" s="6">
        <f t="shared" si="50"/>
        <v>313.97889945311346</v>
      </c>
      <c r="AG135" s="6">
        <f t="shared" si="51"/>
        <v>1.1308367792014224</v>
      </c>
      <c r="AI135" s="6">
        <f t="shared" si="52"/>
        <v>313.96376492296258</v>
      </c>
      <c r="AJ135" s="6">
        <f t="shared" si="53"/>
        <v>3.2836578701550678</v>
      </c>
      <c r="AL135" s="6">
        <f>IF(C98=0,0,SQRT(AI135^2+AJ135^2))</f>
        <v>313.98093587606485</v>
      </c>
      <c r="AM135" s="6">
        <f t="shared" si="54"/>
        <v>1.0458334742743526E-2</v>
      </c>
      <c r="AO135" s="6">
        <f t="shared" si="55"/>
        <v>313.98093587606485</v>
      </c>
      <c r="AP135" s="6">
        <f t="shared" si="56"/>
        <v>-3.6016174703496634E-3</v>
      </c>
    </row>
    <row r="136" spans="1:42">
      <c r="A136" s="1" t="s">
        <v>96</v>
      </c>
      <c r="B136" s="6">
        <f t="shared" si="38"/>
        <v>74.63648097526756</v>
      </c>
      <c r="E136" s="6">
        <f t="shared" si="39"/>
        <v>0.34737270191610031</v>
      </c>
      <c r="H136" s="6">
        <f t="shared" si="40"/>
        <v>74.635672600824336</v>
      </c>
      <c r="L136" s="6">
        <f t="shared" si="41"/>
        <v>74.660840544946126</v>
      </c>
      <c r="M136" s="6">
        <f t="shared" si="42"/>
        <v>0.34748607609218934</v>
      </c>
      <c r="O136" s="6">
        <f t="shared" si="43"/>
        <v>74.660031906668735</v>
      </c>
      <c r="P136" s="6">
        <f t="shared" si="44"/>
        <v>184.77096909794562</v>
      </c>
      <c r="R136" s="6">
        <f t="shared" si="45"/>
        <v>0.34756823054372959</v>
      </c>
      <c r="S136" s="6">
        <f t="shared" si="46"/>
        <v>74.616357803467338</v>
      </c>
      <c r="U136" s="6">
        <f t="shared" si="47"/>
        <v>365.7168301710052</v>
      </c>
      <c r="V136" s="6">
        <f t="shared" si="48"/>
        <v>-6.0020654446050785E-3</v>
      </c>
      <c r="AA136" s="1" t="s">
        <v>96</v>
      </c>
      <c r="AF136" s="6">
        <f t="shared" si="50"/>
        <v>74.393173500155171</v>
      </c>
      <c r="AG136" s="6">
        <f t="shared" si="51"/>
        <v>72.978255268024398</v>
      </c>
      <c r="AI136" s="6">
        <f t="shared" si="52"/>
        <v>75.411857492092565</v>
      </c>
      <c r="AJ136" s="6">
        <f t="shared" si="53"/>
        <v>-71.925112130475298</v>
      </c>
      <c r="AL136" s="6">
        <f>SQRT(AI136^2+AJ136^2)</f>
        <v>104.21213943389283</v>
      </c>
      <c r="AM136" s="6">
        <f t="shared" si="54"/>
        <v>-0.76173747126684621</v>
      </c>
      <c r="AO136" s="6">
        <f t="shared" si="55"/>
        <v>104.21213943389283</v>
      </c>
      <c r="AP136" s="6">
        <f t="shared" si="56"/>
        <v>-0.77579742347993941</v>
      </c>
    </row>
    <row r="137" spans="1:42">
      <c r="A137" s="1" t="s">
        <v>109</v>
      </c>
      <c r="B137" s="6">
        <f t="shared" si="38"/>
        <v>240.62225221942913</v>
      </c>
      <c r="E137" s="6">
        <f t="shared" si="39"/>
        <v>116.23334185598038</v>
      </c>
      <c r="H137" s="6">
        <f t="shared" si="40"/>
        <v>210.6866832624724</v>
      </c>
      <c r="L137" s="6">
        <f t="shared" si="41"/>
        <v>240.79868737969375</v>
      </c>
      <c r="M137" s="6">
        <f t="shared" si="42"/>
        <v>116.31856941955481</v>
      </c>
      <c r="O137" s="6">
        <f t="shared" si="43"/>
        <v>210.84116830441747</v>
      </c>
      <c r="P137" s="6">
        <f t="shared" si="44"/>
        <v>126.10945073219014</v>
      </c>
      <c r="R137" s="6">
        <f t="shared" si="45"/>
        <v>116.38037129545634</v>
      </c>
      <c r="S137" s="6">
        <f t="shared" si="46"/>
        <v>210.81537514446924</v>
      </c>
      <c r="U137" s="6">
        <f t="shared" si="47"/>
        <v>0.80531457812550511</v>
      </c>
      <c r="V137" s="6">
        <f t="shared" si="48"/>
        <v>6.1261890160200281</v>
      </c>
      <c r="AA137" s="1" t="s">
        <v>109</v>
      </c>
      <c r="AF137" s="6">
        <f t="shared" si="50"/>
        <v>212.18192279284838</v>
      </c>
      <c r="AG137" s="6">
        <f t="shared" si="51"/>
        <v>41.078738289773739</v>
      </c>
      <c r="AI137" s="6">
        <f t="shared" si="52"/>
        <v>211.58340476926429</v>
      </c>
      <c r="AJ137" s="6">
        <f t="shared" si="53"/>
        <v>44.057847493899061</v>
      </c>
      <c r="AL137" s="6">
        <f>SQRT(AI137^2+AJ137^2)</f>
        <v>216.12179690986747</v>
      </c>
      <c r="AM137" s="6">
        <f t="shared" si="54"/>
        <v>0.20529560531685709</v>
      </c>
      <c r="AO137" s="6">
        <f t="shared" si="55"/>
        <v>216.12179690986747</v>
      </c>
      <c r="AP137" s="6">
        <f t="shared" si="56"/>
        <v>0.19123565310376389</v>
      </c>
    </row>
    <row r="139" spans="1:42">
      <c r="AI139" s="1" t="s">
        <v>239</v>
      </c>
      <c r="AO139" s="1" t="s">
        <v>240</v>
      </c>
    </row>
    <row r="140" spans="1:42">
      <c r="B140" s="1" t="s">
        <v>241</v>
      </c>
      <c r="L140" s="1" t="s">
        <v>225</v>
      </c>
      <c r="O140" s="1" t="s">
        <v>226</v>
      </c>
      <c r="R140" s="1" t="s">
        <v>242</v>
      </c>
      <c r="AB140" s="1" t="s">
        <v>243</v>
      </c>
      <c r="AI140" s="1" t="s">
        <v>244</v>
      </c>
      <c r="AL140" s="1" t="s">
        <v>245</v>
      </c>
      <c r="AO140" s="1" t="s">
        <v>246</v>
      </c>
    </row>
    <row r="141" spans="1:42">
      <c r="A141" s="1" t="s">
        <v>194</v>
      </c>
      <c r="B141" s="4" t="s">
        <v>211</v>
      </c>
      <c r="C141" s="1" t="s">
        <v>247</v>
      </c>
      <c r="E141" s="1" t="s">
        <v>212</v>
      </c>
      <c r="G141" s="4" t="s">
        <v>248</v>
      </c>
      <c r="H141" s="4" t="s">
        <v>249</v>
      </c>
      <c r="J141" s="1" t="s">
        <v>194</v>
      </c>
      <c r="L141" s="4" t="s">
        <v>211</v>
      </c>
      <c r="M141" s="4" t="s">
        <v>212</v>
      </c>
      <c r="O141" s="4" t="s">
        <v>237</v>
      </c>
      <c r="P141" s="4" t="s">
        <v>238</v>
      </c>
      <c r="R141" s="4" t="s">
        <v>237</v>
      </c>
      <c r="S141" s="4" t="s">
        <v>238</v>
      </c>
      <c r="AA141" s="1" t="s">
        <v>194</v>
      </c>
      <c r="AB141" s="4" t="s">
        <v>211</v>
      </c>
      <c r="AC141" s="4" t="s">
        <v>212</v>
      </c>
      <c r="AF141" s="4" t="s">
        <v>248</v>
      </c>
      <c r="AG141" s="4" t="s">
        <v>249</v>
      </c>
      <c r="AI141" s="4" t="s">
        <v>237</v>
      </c>
      <c r="AJ141" s="4" t="s">
        <v>238</v>
      </c>
      <c r="AL141" s="4" t="s">
        <v>237</v>
      </c>
      <c r="AM141" s="4" t="s">
        <v>238</v>
      </c>
      <c r="AO141" s="4" t="s">
        <v>211</v>
      </c>
      <c r="AP141" s="4" t="s">
        <v>212</v>
      </c>
    </row>
    <row r="142" spans="1:42">
      <c r="A142" s="1" t="s">
        <v>72</v>
      </c>
      <c r="B142" s="4" t="s">
        <v>75</v>
      </c>
      <c r="C142" s="1" t="s">
        <v>250</v>
      </c>
      <c r="E142" s="4" t="s">
        <v>75</v>
      </c>
      <c r="G142" s="1" t="s">
        <v>38</v>
      </c>
      <c r="H142" s="4" t="s">
        <v>72</v>
      </c>
      <c r="J142" s="1" t="s">
        <v>72</v>
      </c>
      <c r="L142" s="4" t="s">
        <v>75</v>
      </c>
      <c r="M142" s="4" t="s">
        <v>75</v>
      </c>
      <c r="O142" s="4" t="s">
        <v>75</v>
      </c>
      <c r="P142" s="4" t="s">
        <v>75</v>
      </c>
      <c r="R142" s="4" t="s">
        <v>75</v>
      </c>
      <c r="S142" s="4" t="s">
        <v>75</v>
      </c>
      <c r="AA142" s="1" t="s">
        <v>77</v>
      </c>
      <c r="AB142" s="4" t="s">
        <v>75</v>
      </c>
      <c r="AC142" s="4" t="s">
        <v>75</v>
      </c>
      <c r="AF142" s="4" t="s">
        <v>75</v>
      </c>
      <c r="AG142" s="4" t="s">
        <v>75</v>
      </c>
      <c r="AI142" s="4" t="s">
        <v>75</v>
      </c>
      <c r="AJ142" s="4" t="s">
        <v>75</v>
      </c>
      <c r="AL142" s="4" t="s">
        <v>75</v>
      </c>
      <c r="AM142" s="4" t="s">
        <v>75</v>
      </c>
      <c r="AO142" s="4" t="s">
        <v>75</v>
      </c>
      <c r="AP142" s="4" t="s">
        <v>75</v>
      </c>
    </row>
    <row r="143" spans="1:42">
      <c r="A143" s="1" t="s">
        <v>81</v>
      </c>
      <c r="B143" s="6">
        <f>IF(B73=0,0,((U110*H110)-(V110*S110)-E110+R110)/(U110-V110))</f>
        <v>-55.786158568250187</v>
      </c>
      <c r="E143" s="6">
        <f>IF(C73=0,0,E110+U110*(B143-H110))</f>
        <v>72.56924189310098</v>
      </c>
      <c r="G143" s="6">
        <f t="shared" ref="G143:G148" si="58">B143^2</f>
        <v>3112.0954878019538</v>
      </c>
      <c r="H143" s="6">
        <f t="shared" ref="H143:H148" si="59">B143*E143</f>
        <v>-4048.3592354262355</v>
      </c>
      <c r="J143" s="1" t="s">
        <v>81</v>
      </c>
      <c r="L143" s="6">
        <f t="shared" ref="L143:L170" si="60">(B143-$E$180)</f>
        <v>-55.009973894632992</v>
      </c>
      <c r="M143" s="6">
        <f t="shared" ref="M143:M170" si="61">(E143-$H$180)</f>
        <v>0.29667746206298773</v>
      </c>
      <c r="O143" s="6">
        <f>IF(C73=0,0,SQRT(L143^2+M143^2))</f>
        <v>55.010773902979217</v>
      </c>
      <c r="P143" s="6">
        <f t="shared" ref="P143:P170" si="62">ATAN2(L143,M143)</f>
        <v>3.1361995482180332</v>
      </c>
      <c r="R143" s="6">
        <f t="shared" ref="R143:R170" si="63">(O143)</f>
        <v>55.010773902979217</v>
      </c>
      <c r="S143" s="6">
        <f t="shared" ref="S143:S170" si="64">(P143-$E$182)</f>
        <v>3.1221395960049398</v>
      </c>
      <c r="AA143" s="1" t="s">
        <v>81</v>
      </c>
      <c r="AB143" s="6">
        <f t="shared" ref="AB143:AB170" si="65">(B143+AI143*COS(AJ143))</f>
        <v>-55.786158568250187</v>
      </c>
      <c r="AC143" s="6">
        <f t="shared" ref="AC143:AC170" si="66">(E143+AI143*SIN(AJ143))</f>
        <v>72.56924189310098</v>
      </c>
      <c r="AF143" s="6">
        <f t="shared" ref="AF143:AF148" si="67">AB143^2</f>
        <v>3112.0954878019538</v>
      </c>
      <c r="AG143" s="6">
        <f t="shared" ref="AG143:AG148" si="68">AB143*AC143</f>
        <v>-4048.3592354262355</v>
      </c>
      <c r="AI143" s="6">
        <f t="shared" ref="AI143:AI170" si="69">AL143</f>
        <v>0</v>
      </c>
      <c r="AJ143" s="6">
        <f t="shared" ref="AJ143:AJ170" si="70">(AM143+$E$182)</f>
        <v>1.4059952213093189E-2</v>
      </c>
      <c r="AL143" s="6">
        <f t="shared" ref="AL143:AL170" si="71">SQRT(AO143^2+AP143^2)</f>
        <v>0</v>
      </c>
      <c r="AM143" s="6">
        <f t="shared" ref="AM143:AM168" si="72">IF(AND(AF15=0,AG15=0),0,ATAN2(AO143,AP143))</f>
        <v>0</v>
      </c>
      <c r="AO143" s="6">
        <f>IF($AI$4=0,AF15*0.01,AF15*0.0254)</f>
        <v>0</v>
      </c>
      <c r="AP143" s="6">
        <f>IF($AI$4=0,AG15*0.01,AG15*0.0254)</f>
        <v>0</v>
      </c>
    </row>
    <row r="144" spans="1:42">
      <c r="A144" s="1" t="s">
        <v>80</v>
      </c>
      <c r="B144" s="6">
        <f>IF(B74=0,0,((U111*H111)-(V111*S111)-E111+R111)/(U111-V111))</f>
        <v>-55.765829729126175</v>
      </c>
      <c r="E144" s="6">
        <f>IF(C74=0,0,E111+U111*(B144-H111))</f>
        <v>70.255898965213404</v>
      </c>
      <c r="G144" s="6">
        <f t="shared" si="58"/>
        <v>3109.8277653778928</v>
      </c>
      <c r="H144" s="6">
        <f t="shared" si="59"/>
        <v>-3917.8784991607827</v>
      </c>
      <c r="J144" s="1" t="s">
        <v>80</v>
      </c>
      <c r="L144" s="6">
        <f t="shared" si="60"/>
        <v>-54.98964505550898</v>
      </c>
      <c r="M144" s="6">
        <f t="shared" si="61"/>
        <v>-2.0166654658245875</v>
      </c>
      <c r="O144" s="6">
        <f>IF(C74=0,0,SQRT(L144^2+M144^2))</f>
        <v>55.026611770414434</v>
      </c>
      <c r="P144" s="6">
        <f t="shared" si="62"/>
        <v>-3.1049355322635126</v>
      </c>
      <c r="R144" s="6">
        <f t="shared" si="63"/>
        <v>55.026611770414434</v>
      </c>
      <c r="S144" s="6">
        <f t="shared" si="64"/>
        <v>-3.1189954844766059</v>
      </c>
      <c r="AA144" s="1" t="s">
        <v>80</v>
      </c>
      <c r="AB144" s="6">
        <f t="shared" si="65"/>
        <v>-55.765829729126175</v>
      </c>
      <c r="AC144" s="6">
        <f t="shared" si="66"/>
        <v>70.255898965213404</v>
      </c>
      <c r="AF144" s="6">
        <f t="shared" si="67"/>
        <v>3109.8277653778928</v>
      </c>
      <c r="AG144" s="6">
        <f t="shared" si="68"/>
        <v>-3917.8784991607827</v>
      </c>
      <c r="AI144" s="6">
        <f t="shared" si="69"/>
        <v>0</v>
      </c>
      <c r="AJ144" s="6">
        <f t="shared" si="70"/>
        <v>1.4059952213093189E-2</v>
      </c>
      <c r="AL144" s="6">
        <f t="shared" si="71"/>
        <v>0</v>
      </c>
      <c r="AM144" s="6">
        <f t="shared" si="72"/>
        <v>0</v>
      </c>
      <c r="AO144" s="6">
        <f t="shared" ref="AO144:AO168" si="73">IF($AI$4=0,AF16*0.01,AF16*0.0254)</f>
        <v>0</v>
      </c>
      <c r="AP144" s="6">
        <f>IF($AI$4=0,-AG16*0.01,-AG16*0.0254)</f>
        <v>0</v>
      </c>
    </row>
    <row r="145" spans="1:42">
      <c r="A145" s="1" t="s">
        <v>83</v>
      </c>
      <c r="B145" s="6">
        <f t="shared" ref="B145:B166" si="74">((U112*H112)-(V112*S112)-E112+R112)/(U112-V112)</f>
        <v>-0.91044634390249801</v>
      </c>
      <c r="E145" s="6">
        <f t="shared" ref="E145:E166" si="75">E112+U112*(B145-H112)</f>
        <v>73.567300015630039</v>
      </c>
      <c r="G145" s="6">
        <f t="shared" si="58"/>
        <v>0.82891254512542567</v>
      </c>
      <c r="H145" s="6">
        <f t="shared" si="59"/>
        <v>-66.97907933000856</v>
      </c>
      <c r="J145" s="1" t="s">
        <v>83</v>
      </c>
      <c r="L145" s="6">
        <f t="shared" si="60"/>
        <v>-0.13426167028530334</v>
      </c>
      <c r="M145" s="6">
        <f t="shared" si="61"/>
        <v>1.294735584592047</v>
      </c>
      <c r="O145" s="6">
        <f t="shared" ref="O145:O166" si="76">SQRT(L145^2+M145^2)</f>
        <v>1.3016783128395084</v>
      </c>
      <c r="P145" s="6">
        <f t="shared" si="62"/>
        <v>1.6741251462633611</v>
      </c>
      <c r="R145" s="6">
        <f t="shared" si="63"/>
        <v>1.3016783128395084</v>
      </c>
      <c r="S145" s="6">
        <f t="shared" si="64"/>
        <v>1.660065194050268</v>
      </c>
      <c r="AA145" s="1" t="s">
        <v>83</v>
      </c>
      <c r="AB145" s="6">
        <f t="shared" si="65"/>
        <v>-0.91044634390249801</v>
      </c>
      <c r="AC145" s="6">
        <f t="shared" si="66"/>
        <v>73.567300015630039</v>
      </c>
      <c r="AF145" s="6">
        <f t="shared" si="67"/>
        <v>0.82891254512542567</v>
      </c>
      <c r="AG145" s="6">
        <f t="shared" si="68"/>
        <v>-66.97907933000856</v>
      </c>
      <c r="AI145" s="6">
        <f t="shared" si="69"/>
        <v>0</v>
      </c>
      <c r="AJ145" s="6">
        <f t="shared" si="70"/>
        <v>1.4059952213093189E-2</v>
      </c>
      <c r="AL145" s="6">
        <f t="shared" si="71"/>
        <v>0</v>
      </c>
      <c r="AM145" s="6">
        <f t="shared" si="72"/>
        <v>0</v>
      </c>
      <c r="AO145" s="6">
        <f t="shared" si="73"/>
        <v>0</v>
      </c>
      <c r="AP145" s="6">
        <f>IF($AI$4=0,AG17*0.01,AG17*0.0254)</f>
        <v>0</v>
      </c>
    </row>
    <row r="146" spans="1:42">
      <c r="A146" s="1" t="s">
        <v>84</v>
      </c>
      <c r="B146" s="6">
        <f t="shared" si="74"/>
        <v>-0.88521524008120367</v>
      </c>
      <c r="E146" s="6">
        <f t="shared" si="75"/>
        <v>71.068443582602484</v>
      </c>
      <c r="G146" s="6">
        <f t="shared" si="58"/>
        <v>0.78360602127202306</v>
      </c>
      <c r="H146" s="6">
        <f t="shared" si="59"/>
        <v>-62.910869348170934</v>
      </c>
      <c r="J146" s="1" t="s">
        <v>84</v>
      </c>
      <c r="L146" s="6">
        <f t="shared" si="60"/>
        <v>-0.10903056646400899</v>
      </c>
      <c r="M146" s="6">
        <f t="shared" si="61"/>
        <v>-1.2041208484355082</v>
      </c>
      <c r="O146" s="6">
        <f t="shared" si="76"/>
        <v>1.2090470139992533</v>
      </c>
      <c r="P146" s="6">
        <f t="shared" si="62"/>
        <v>-1.6610979327180082</v>
      </c>
      <c r="R146" s="6">
        <f t="shared" si="63"/>
        <v>1.2090470139992533</v>
      </c>
      <c r="S146" s="6">
        <f t="shared" si="64"/>
        <v>-1.6751578849311013</v>
      </c>
      <c r="AA146" s="1" t="s">
        <v>84</v>
      </c>
      <c r="AB146" s="6">
        <f t="shared" si="65"/>
        <v>-0.88521524008120367</v>
      </c>
      <c r="AC146" s="6">
        <f t="shared" si="66"/>
        <v>71.068443582602484</v>
      </c>
      <c r="AF146" s="6">
        <f t="shared" si="67"/>
        <v>0.78360602127202306</v>
      </c>
      <c r="AG146" s="6">
        <f t="shared" si="68"/>
        <v>-62.910869348170934</v>
      </c>
      <c r="AI146" s="6">
        <f t="shared" si="69"/>
        <v>0</v>
      </c>
      <c r="AJ146" s="6">
        <f t="shared" si="70"/>
        <v>1.4059952213093189E-2</v>
      </c>
      <c r="AL146" s="6">
        <f t="shared" si="71"/>
        <v>0</v>
      </c>
      <c r="AM146" s="6">
        <f t="shared" si="72"/>
        <v>0</v>
      </c>
      <c r="AO146" s="6">
        <f t="shared" si="73"/>
        <v>0</v>
      </c>
      <c r="AP146" s="6">
        <f>IF($AI$4=0,-AG18*0.01,-AG18*0.0254)</f>
        <v>0</v>
      </c>
    </row>
    <row r="147" spans="1:42">
      <c r="A147" s="1" t="s">
        <v>85</v>
      </c>
      <c r="B147" s="6">
        <f t="shared" si="74"/>
        <v>25.970648318129765</v>
      </c>
      <c r="E147" s="6">
        <f t="shared" si="75"/>
        <v>73.834880879099828</v>
      </c>
      <c r="G147" s="6">
        <f t="shared" si="58"/>
        <v>674.47457406397643</v>
      </c>
      <c r="H147" s="6">
        <f t="shared" si="59"/>
        <v>1917.5397249221055</v>
      </c>
      <c r="J147" s="1" t="s">
        <v>85</v>
      </c>
      <c r="L147" s="6">
        <f t="shared" si="60"/>
        <v>26.74683299174696</v>
      </c>
      <c r="M147" s="6">
        <f t="shared" si="61"/>
        <v>1.5623164480618357</v>
      </c>
      <c r="O147" s="6">
        <f t="shared" si="76"/>
        <v>26.792422581250246</v>
      </c>
      <c r="P147" s="6">
        <f t="shared" si="62"/>
        <v>5.8344973660917898E-2</v>
      </c>
      <c r="R147" s="6">
        <f t="shared" si="63"/>
        <v>26.792422581250246</v>
      </c>
      <c r="S147" s="6">
        <f t="shared" si="64"/>
        <v>4.4285021447824709E-2</v>
      </c>
      <c r="AA147" s="1" t="s">
        <v>85</v>
      </c>
      <c r="AB147" s="6">
        <f t="shared" si="65"/>
        <v>25.970648318129765</v>
      </c>
      <c r="AC147" s="6">
        <f t="shared" si="66"/>
        <v>73.834880879099828</v>
      </c>
      <c r="AF147" s="6">
        <f t="shared" si="67"/>
        <v>674.47457406397643</v>
      </c>
      <c r="AG147" s="6">
        <f t="shared" si="68"/>
        <v>1917.5397249221055</v>
      </c>
      <c r="AI147" s="6">
        <f t="shared" si="69"/>
        <v>0</v>
      </c>
      <c r="AJ147" s="6">
        <f t="shared" si="70"/>
        <v>1.4059952213093189E-2</v>
      </c>
      <c r="AL147" s="6">
        <f t="shared" si="71"/>
        <v>0</v>
      </c>
      <c r="AM147" s="6">
        <f t="shared" si="72"/>
        <v>0</v>
      </c>
      <c r="AO147" s="6">
        <f t="shared" si="73"/>
        <v>0</v>
      </c>
      <c r="AP147" s="6">
        <f>IF($AI$4=0,AG19*0.01,AG19*0.0254)</f>
        <v>0</v>
      </c>
    </row>
    <row r="148" spans="1:42">
      <c r="A148" s="1" t="s">
        <v>86</v>
      </c>
      <c r="B148" s="6">
        <f t="shared" si="74"/>
        <v>26.009763358821978</v>
      </c>
      <c r="E148" s="6">
        <f t="shared" si="75"/>
        <v>71.558453954888108</v>
      </c>
      <c r="G148" s="6">
        <f t="shared" si="58"/>
        <v>676.50778998191834</v>
      </c>
      <c r="H148" s="6">
        <f t="shared" si="59"/>
        <v>1861.2184536897985</v>
      </c>
      <c r="J148" s="1" t="s">
        <v>86</v>
      </c>
      <c r="L148" s="6">
        <f t="shared" si="60"/>
        <v>26.785948032439173</v>
      </c>
      <c r="M148" s="6">
        <f t="shared" si="61"/>
        <v>-0.71411047614988377</v>
      </c>
      <c r="O148" s="6">
        <f t="shared" si="76"/>
        <v>26.795465395635116</v>
      </c>
      <c r="P148" s="6">
        <f t="shared" si="62"/>
        <v>-2.6653578315172434E-2</v>
      </c>
      <c r="R148" s="6">
        <f t="shared" si="63"/>
        <v>26.795465395635116</v>
      </c>
      <c r="S148" s="6">
        <f t="shared" si="64"/>
        <v>-4.0713530528265623E-2</v>
      </c>
      <c r="AA148" s="1" t="s">
        <v>86</v>
      </c>
      <c r="AB148" s="6">
        <f t="shared" si="65"/>
        <v>26.009763358821978</v>
      </c>
      <c r="AC148" s="6">
        <f t="shared" si="66"/>
        <v>71.558453954888108</v>
      </c>
      <c r="AF148" s="6">
        <f t="shared" si="67"/>
        <v>676.50778998191834</v>
      </c>
      <c r="AG148" s="6">
        <f t="shared" si="68"/>
        <v>1861.2184536897985</v>
      </c>
      <c r="AI148" s="6">
        <f t="shared" si="69"/>
        <v>0</v>
      </c>
      <c r="AJ148" s="6">
        <f t="shared" si="70"/>
        <v>1.4059952213093189E-2</v>
      </c>
      <c r="AL148" s="6">
        <f t="shared" si="71"/>
        <v>0</v>
      </c>
      <c r="AM148" s="6">
        <f t="shared" si="72"/>
        <v>0</v>
      </c>
      <c r="AO148" s="6">
        <f t="shared" si="73"/>
        <v>0</v>
      </c>
      <c r="AP148" s="6">
        <f>IF($AI$4=0,-AG20*0.01,-AG20*0.0254)</f>
        <v>0</v>
      </c>
    </row>
    <row r="149" spans="1:42">
      <c r="A149" s="1" t="s">
        <v>87</v>
      </c>
      <c r="B149" s="6">
        <f t="shared" si="74"/>
        <v>26.170488062629271</v>
      </c>
      <c r="E149" s="6">
        <f t="shared" si="75"/>
        <v>61.218588934805588</v>
      </c>
      <c r="J149" s="1" t="s">
        <v>87</v>
      </c>
      <c r="L149" s="6">
        <f t="shared" si="60"/>
        <v>26.946672736246466</v>
      </c>
      <c r="M149" s="6">
        <f t="shared" si="61"/>
        <v>-11.053975496232404</v>
      </c>
      <c r="O149" s="6">
        <f t="shared" si="76"/>
        <v>29.125822663500426</v>
      </c>
      <c r="P149" s="6">
        <f t="shared" si="62"/>
        <v>-0.38928274237735527</v>
      </c>
      <c r="R149" s="6">
        <f t="shared" si="63"/>
        <v>29.125822663500426</v>
      </c>
      <c r="S149" s="6">
        <f t="shared" si="64"/>
        <v>-0.40334269459044847</v>
      </c>
      <c r="AA149" s="1" t="s">
        <v>87</v>
      </c>
      <c r="AB149" s="6">
        <f t="shared" si="65"/>
        <v>26.170488062629271</v>
      </c>
      <c r="AC149" s="6">
        <f t="shared" si="66"/>
        <v>61.218588934805588</v>
      </c>
      <c r="AI149" s="6">
        <f t="shared" si="69"/>
        <v>0</v>
      </c>
      <c r="AJ149" s="6">
        <f t="shared" si="70"/>
        <v>1.4059952213093189E-2</v>
      </c>
      <c r="AL149" s="6">
        <f t="shared" si="71"/>
        <v>0</v>
      </c>
      <c r="AM149" s="6">
        <f t="shared" si="72"/>
        <v>0</v>
      </c>
      <c r="AO149" s="6">
        <f t="shared" si="73"/>
        <v>0</v>
      </c>
      <c r="AP149" s="6">
        <f>IF($AI$4=0,-AG21*0.01,-AG21*0.0254)</f>
        <v>0</v>
      </c>
    </row>
    <row r="150" spans="1:42">
      <c r="A150" s="1" t="s">
        <v>88</v>
      </c>
      <c r="B150" s="6">
        <f t="shared" si="74"/>
        <v>66.953175860443764</v>
      </c>
      <c r="E150" s="6">
        <f t="shared" si="75"/>
        <v>84.726842676962264</v>
      </c>
      <c r="J150" s="1" t="s">
        <v>88</v>
      </c>
      <c r="L150" s="6">
        <f t="shared" si="60"/>
        <v>67.729360534060959</v>
      </c>
      <c r="M150" s="6">
        <f t="shared" si="61"/>
        <v>12.454278245924272</v>
      </c>
      <c r="O150" s="6">
        <f t="shared" si="76"/>
        <v>68.864906338277379</v>
      </c>
      <c r="P150" s="6">
        <f t="shared" si="62"/>
        <v>0.18185151850621856</v>
      </c>
      <c r="R150" s="6">
        <f t="shared" si="63"/>
        <v>68.864906338277379</v>
      </c>
      <c r="S150" s="6">
        <f t="shared" si="64"/>
        <v>0.16779156629312536</v>
      </c>
      <c r="AA150" s="1" t="s">
        <v>88</v>
      </c>
      <c r="AB150" s="6">
        <f t="shared" si="65"/>
        <v>66.953175860443764</v>
      </c>
      <c r="AC150" s="6">
        <f t="shared" si="66"/>
        <v>84.726842676962264</v>
      </c>
      <c r="AI150" s="6">
        <f t="shared" si="69"/>
        <v>0</v>
      </c>
      <c r="AJ150" s="6">
        <f t="shared" si="70"/>
        <v>1.4059952213093189E-2</v>
      </c>
      <c r="AL150" s="6">
        <f t="shared" si="71"/>
        <v>0</v>
      </c>
      <c r="AM150" s="6">
        <f t="shared" si="72"/>
        <v>0</v>
      </c>
      <c r="AO150" s="6">
        <f t="shared" si="73"/>
        <v>0</v>
      </c>
      <c r="AP150" s="6">
        <f>IF($AI$4=0,AG22*0.01,AG22*0.0254)</f>
        <v>0</v>
      </c>
    </row>
    <row r="151" spans="1:42">
      <c r="A151" s="1" t="s">
        <v>89</v>
      </c>
      <c r="B151" s="6">
        <f t="shared" si="74"/>
        <v>67.09432640145593</v>
      </c>
      <c r="E151" s="6">
        <f t="shared" si="75"/>
        <v>74.415060501193565</v>
      </c>
      <c r="G151" s="6">
        <f>B151^2</f>
        <v>4501.6486352651063</v>
      </c>
      <c r="H151" s="6">
        <f>B151*E151</f>
        <v>4992.8283584511719</v>
      </c>
      <c r="J151" s="1" t="s">
        <v>89</v>
      </c>
      <c r="L151" s="6">
        <f t="shared" si="60"/>
        <v>67.870511075073125</v>
      </c>
      <c r="M151" s="6">
        <f t="shared" si="61"/>
        <v>2.1424960701555733</v>
      </c>
      <c r="O151" s="6">
        <f t="shared" si="76"/>
        <v>67.904319177812653</v>
      </c>
      <c r="P151" s="6">
        <f t="shared" si="62"/>
        <v>3.1556927961689248E-2</v>
      </c>
      <c r="R151" s="6">
        <f t="shared" si="63"/>
        <v>67.904319177812653</v>
      </c>
      <c r="S151" s="6">
        <f t="shared" si="64"/>
        <v>1.7496975748596058E-2</v>
      </c>
      <c r="AA151" s="1" t="s">
        <v>89</v>
      </c>
      <c r="AB151" s="6">
        <f t="shared" si="65"/>
        <v>67.09432640145593</v>
      </c>
      <c r="AC151" s="6">
        <f t="shared" si="66"/>
        <v>74.415060501193565</v>
      </c>
      <c r="AF151" s="6">
        <f>AB151^2</f>
        <v>4501.6486352651063</v>
      </c>
      <c r="AG151" s="6">
        <f>AB151*AC151</f>
        <v>4992.8283584511719</v>
      </c>
      <c r="AI151" s="6">
        <f t="shared" si="69"/>
        <v>0</v>
      </c>
      <c r="AJ151" s="6">
        <f t="shared" si="70"/>
        <v>1.4059952213093189E-2</v>
      </c>
      <c r="AL151" s="6">
        <f t="shared" si="71"/>
        <v>0</v>
      </c>
      <c r="AM151" s="6">
        <f t="shared" si="72"/>
        <v>0</v>
      </c>
      <c r="AO151" s="6">
        <f t="shared" si="73"/>
        <v>0</v>
      </c>
      <c r="AP151" s="6">
        <f>IF($AI$4=0,AG23*0.01,AG23*0.0254)</f>
        <v>0</v>
      </c>
    </row>
    <row r="152" spans="1:42">
      <c r="A152" s="1" t="s">
        <v>90</v>
      </c>
      <c r="B152" s="6">
        <f t="shared" si="74"/>
        <v>67.148376741945569</v>
      </c>
      <c r="E152" s="6">
        <f t="shared" si="75"/>
        <v>72.107953444603368</v>
      </c>
      <c r="G152" s="6">
        <f>B152^2</f>
        <v>4508.9044990782568</v>
      </c>
      <c r="H152" s="6">
        <f>B152*E152</f>
        <v>4841.9320239888984</v>
      </c>
      <c r="J152" s="1" t="s">
        <v>90</v>
      </c>
      <c r="L152" s="6">
        <f t="shared" si="60"/>
        <v>67.924561415562764</v>
      </c>
      <c r="M152" s="6">
        <f t="shared" si="61"/>
        <v>-0.16461098643462435</v>
      </c>
      <c r="O152" s="6">
        <f t="shared" si="76"/>
        <v>67.924760877557844</v>
      </c>
      <c r="P152" s="6">
        <f t="shared" si="62"/>
        <v>-2.423433596755971E-3</v>
      </c>
      <c r="R152" s="6">
        <f t="shared" si="63"/>
        <v>67.924760877557844</v>
      </c>
      <c r="S152" s="6">
        <f t="shared" si="64"/>
        <v>-1.648338580984916E-2</v>
      </c>
      <c r="AA152" s="1" t="s">
        <v>90</v>
      </c>
      <c r="AB152" s="6">
        <f t="shared" si="65"/>
        <v>67.148376741945569</v>
      </c>
      <c r="AC152" s="6">
        <f t="shared" si="66"/>
        <v>72.107953444603368</v>
      </c>
      <c r="AF152" s="6">
        <f>AB152^2</f>
        <v>4508.9044990782568</v>
      </c>
      <c r="AG152" s="6">
        <f>AB152*AC152</f>
        <v>4841.9320239888984</v>
      </c>
      <c r="AI152" s="6">
        <f t="shared" si="69"/>
        <v>0</v>
      </c>
      <c r="AJ152" s="6">
        <f t="shared" si="70"/>
        <v>1.4059952213093189E-2</v>
      </c>
      <c r="AL152" s="6">
        <f t="shared" si="71"/>
        <v>0</v>
      </c>
      <c r="AM152" s="6">
        <f t="shared" si="72"/>
        <v>0</v>
      </c>
      <c r="AO152" s="6">
        <f t="shared" si="73"/>
        <v>0</v>
      </c>
      <c r="AP152" s="6">
        <f>IF($AI$4=0,-AG24*0.01,-AG24*0.0254)</f>
        <v>0</v>
      </c>
    </row>
    <row r="153" spans="1:42">
      <c r="A153" s="1" t="s">
        <v>91</v>
      </c>
      <c r="B153" s="6">
        <f t="shared" si="74"/>
        <v>108.26355029295863</v>
      </c>
      <c r="E153" s="6">
        <f t="shared" si="75"/>
        <v>74.91002224431017</v>
      </c>
      <c r="G153" s="6">
        <f>B153^2</f>
        <v>11720.996322035982</v>
      </c>
      <c r="H153" s="6">
        <f>B153*E153</f>
        <v>8110.0249606935231</v>
      </c>
      <c r="J153" s="1" t="s">
        <v>91</v>
      </c>
      <c r="L153" s="6">
        <f t="shared" si="60"/>
        <v>109.03973496657582</v>
      </c>
      <c r="M153" s="6">
        <f t="shared" si="61"/>
        <v>2.637457813272178</v>
      </c>
      <c r="O153" s="6">
        <f t="shared" si="76"/>
        <v>109.07162777412782</v>
      </c>
      <c r="P153" s="6">
        <f t="shared" si="62"/>
        <v>2.418332763082235E-2</v>
      </c>
      <c r="R153" s="6">
        <f t="shared" si="63"/>
        <v>109.07162777412782</v>
      </c>
      <c r="S153" s="6">
        <f t="shared" si="64"/>
        <v>1.0123375417729161E-2</v>
      </c>
      <c r="AA153" s="1" t="s">
        <v>91</v>
      </c>
      <c r="AB153" s="6">
        <f t="shared" si="65"/>
        <v>108.26355029295863</v>
      </c>
      <c r="AC153" s="6">
        <f t="shared" si="66"/>
        <v>74.91002224431017</v>
      </c>
      <c r="AF153" s="6">
        <f>AB153^2</f>
        <v>11720.996322035982</v>
      </c>
      <c r="AG153" s="6">
        <f>AB153*AC153</f>
        <v>8110.0249606935231</v>
      </c>
      <c r="AI153" s="6">
        <f t="shared" si="69"/>
        <v>0</v>
      </c>
      <c r="AJ153" s="6">
        <f t="shared" si="70"/>
        <v>1.4059952213093189E-2</v>
      </c>
      <c r="AL153" s="6">
        <f t="shared" si="71"/>
        <v>0</v>
      </c>
      <c r="AM153" s="6">
        <f t="shared" si="72"/>
        <v>0</v>
      </c>
      <c r="AO153" s="6">
        <f t="shared" si="73"/>
        <v>0</v>
      </c>
      <c r="AP153" s="6">
        <f>IF($AI$4=0,AG25*0.01,AG25*0.0254)</f>
        <v>0</v>
      </c>
    </row>
    <row r="154" spans="1:42">
      <c r="A154" s="1" t="s">
        <v>92</v>
      </c>
      <c r="B154" s="6">
        <f t="shared" si="74"/>
        <v>108.30662773752864</v>
      </c>
      <c r="E154" s="6">
        <f t="shared" si="75"/>
        <v>72.641715891207937</v>
      </c>
      <c r="G154" s="6">
        <f>B154^2</f>
        <v>11730.325611875609</v>
      </c>
      <c r="H154" s="6">
        <f>B154*E154</f>
        <v>7867.5792812443769</v>
      </c>
      <c r="J154" s="1" t="s">
        <v>92</v>
      </c>
      <c r="L154" s="6">
        <f t="shared" si="60"/>
        <v>109.08281241114584</v>
      </c>
      <c r="M154" s="6">
        <f t="shared" si="61"/>
        <v>0.36915146016994527</v>
      </c>
      <c r="O154" s="6">
        <f t="shared" si="76"/>
        <v>109.08343703938641</v>
      </c>
      <c r="P154" s="6">
        <f t="shared" si="62"/>
        <v>3.3841266355033144E-3</v>
      </c>
      <c r="R154" s="6">
        <f t="shared" si="63"/>
        <v>109.08343703938641</v>
      </c>
      <c r="S154" s="6">
        <f t="shared" si="64"/>
        <v>-1.0675825577589875E-2</v>
      </c>
      <c r="AA154" s="1" t="s">
        <v>92</v>
      </c>
      <c r="AB154" s="6">
        <f t="shared" si="65"/>
        <v>108.30662773752864</v>
      </c>
      <c r="AC154" s="6">
        <f t="shared" si="66"/>
        <v>72.641715891207937</v>
      </c>
      <c r="AF154" s="6">
        <f>AB154^2</f>
        <v>11730.325611875609</v>
      </c>
      <c r="AG154" s="6">
        <f>AB154*AC154</f>
        <v>7867.5792812443769</v>
      </c>
      <c r="AI154" s="6">
        <f t="shared" si="69"/>
        <v>0</v>
      </c>
      <c r="AJ154" s="6">
        <f t="shared" si="70"/>
        <v>1.4059952213093189E-2</v>
      </c>
      <c r="AL154" s="6">
        <f t="shared" si="71"/>
        <v>0</v>
      </c>
      <c r="AM154" s="6">
        <f t="shared" si="72"/>
        <v>0</v>
      </c>
      <c r="AO154" s="6">
        <f t="shared" si="73"/>
        <v>0</v>
      </c>
      <c r="AP154" s="6">
        <f>IF($AI$4=0,-AG26*0.01,-AG26*0.0254)</f>
        <v>0</v>
      </c>
    </row>
    <row r="155" spans="1:42">
      <c r="A155" s="1" t="s">
        <v>93</v>
      </c>
      <c r="B155" s="6">
        <f t="shared" si="74"/>
        <v>108.41640499666219</v>
      </c>
      <c r="E155" s="6">
        <f t="shared" si="75"/>
        <v>62.290884718041092</v>
      </c>
      <c r="J155" s="1" t="s">
        <v>93</v>
      </c>
      <c r="L155" s="6">
        <f t="shared" si="60"/>
        <v>109.19258967027939</v>
      </c>
      <c r="M155" s="6">
        <f t="shared" si="61"/>
        <v>-9.9816797129969004</v>
      </c>
      <c r="O155" s="6">
        <f t="shared" si="76"/>
        <v>109.64787079006531</v>
      </c>
      <c r="P155" s="6">
        <f t="shared" si="62"/>
        <v>-9.1160165492422465E-2</v>
      </c>
      <c r="R155" s="6">
        <f t="shared" si="63"/>
        <v>109.64787079006531</v>
      </c>
      <c r="S155" s="6">
        <f t="shared" si="64"/>
        <v>-0.10522011770551565</v>
      </c>
      <c r="AA155" s="1" t="s">
        <v>93</v>
      </c>
      <c r="AB155" s="6">
        <f t="shared" si="65"/>
        <v>108.41640499666219</v>
      </c>
      <c r="AC155" s="6">
        <f t="shared" si="66"/>
        <v>62.290884718041092</v>
      </c>
      <c r="AI155" s="6">
        <f t="shared" si="69"/>
        <v>0</v>
      </c>
      <c r="AJ155" s="6">
        <f t="shared" si="70"/>
        <v>1.4059952213093189E-2</v>
      </c>
      <c r="AL155" s="6">
        <f t="shared" si="71"/>
        <v>0</v>
      </c>
      <c r="AM155" s="6">
        <f t="shared" si="72"/>
        <v>0</v>
      </c>
      <c r="AO155" s="6">
        <f t="shared" si="73"/>
        <v>0</v>
      </c>
      <c r="AP155" s="6">
        <f>IF($AI$4=0,-AG27*0.01,-AG27*0.0254)</f>
        <v>0</v>
      </c>
    </row>
    <row r="156" spans="1:42">
      <c r="A156" s="1" t="s">
        <v>94</v>
      </c>
      <c r="B156" s="6">
        <f t="shared" si="74"/>
        <v>149.13598510925573</v>
      </c>
      <c r="E156" s="6">
        <f t="shared" si="75"/>
        <v>85.866050483665944</v>
      </c>
      <c r="J156" s="1" t="s">
        <v>94</v>
      </c>
      <c r="L156" s="6">
        <f t="shared" si="60"/>
        <v>149.91216978287292</v>
      </c>
      <c r="M156" s="6">
        <f t="shared" si="61"/>
        <v>13.593486052627952</v>
      </c>
      <c r="O156" s="6">
        <f t="shared" si="76"/>
        <v>150.52721186573513</v>
      </c>
      <c r="P156" s="6">
        <f t="shared" si="62"/>
        <v>9.0429033788944124E-2</v>
      </c>
      <c r="R156" s="6">
        <f t="shared" si="63"/>
        <v>150.52721186573513</v>
      </c>
      <c r="S156" s="6">
        <f t="shared" si="64"/>
        <v>7.6369081575850928E-2</v>
      </c>
      <c r="AA156" s="1" t="s">
        <v>94</v>
      </c>
      <c r="AB156" s="6">
        <f t="shared" si="65"/>
        <v>149.13598510925573</v>
      </c>
      <c r="AC156" s="6">
        <f t="shared" si="66"/>
        <v>85.866050483665944</v>
      </c>
      <c r="AI156" s="6">
        <f t="shared" si="69"/>
        <v>0</v>
      </c>
      <c r="AJ156" s="6">
        <f t="shared" si="70"/>
        <v>1.4059952213093189E-2</v>
      </c>
      <c r="AL156" s="6">
        <f t="shared" si="71"/>
        <v>0</v>
      </c>
      <c r="AM156" s="6">
        <f t="shared" si="72"/>
        <v>0</v>
      </c>
      <c r="AO156" s="6">
        <f t="shared" si="73"/>
        <v>0</v>
      </c>
      <c r="AP156" s="6">
        <f>IF($AI$4=0,AG28*0.01,AG28*0.0254)</f>
        <v>0</v>
      </c>
    </row>
    <row r="157" spans="1:42">
      <c r="A157" s="1" t="s">
        <v>95</v>
      </c>
      <c r="B157" s="6">
        <f t="shared" si="74"/>
        <v>149.38281579928886</v>
      </c>
      <c r="E157" s="6">
        <f t="shared" si="75"/>
        <v>75.525627334624929</v>
      </c>
      <c r="G157" s="6">
        <f>B157^2</f>
        <v>22315.225656124265</v>
      </c>
      <c r="H157" s="6">
        <f>B157*E157</f>
        <v>11282.230876254012</v>
      </c>
      <c r="J157" s="1" t="s">
        <v>95</v>
      </c>
      <c r="L157" s="6">
        <f t="shared" si="60"/>
        <v>150.15900047290606</v>
      </c>
      <c r="M157" s="6">
        <f t="shared" si="61"/>
        <v>3.2530629035869367</v>
      </c>
      <c r="O157" s="6">
        <f t="shared" si="76"/>
        <v>150.19423371513599</v>
      </c>
      <c r="P157" s="6">
        <f t="shared" si="62"/>
        <v>2.1660733702745003E-2</v>
      </c>
      <c r="R157" s="6">
        <f t="shared" si="63"/>
        <v>150.19423371513599</v>
      </c>
      <c r="S157" s="6">
        <f t="shared" si="64"/>
        <v>7.600781489651813E-3</v>
      </c>
      <c r="AA157" s="1" t="s">
        <v>95</v>
      </c>
      <c r="AB157" s="6">
        <f t="shared" si="65"/>
        <v>149.38281579928886</v>
      </c>
      <c r="AC157" s="6">
        <f t="shared" si="66"/>
        <v>75.525627334624929</v>
      </c>
      <c r="AF157" s="6">
        <f>AB157^2</f>
        <v>22315.225656124265</v>
      </c>
      <c r="AG157" s="6">
        <f>AB157*AC157</f>
        <v>11282.230876254012</v>
      </c>
      <c r="AI157" s="6">
        <f t="shared" si="69"/>
        <v>0</v>
      </c>
      <c r="AJ157" s="6">
        <f t="shared" si="70"/>
        <v>1.4059952213093189E-2</v>
      </c>
      <c r="AL157" s="6">
        <f t="shared" si="71"/>
        <v>0</v>
      </c>
      <c r="AM157" s="6">
        <f t="shared" si="72"/>
        <v>0</v>
      </c>
      <c r="AO157" s="6">
        <f t="shared" si="73"/>
        <v>0</v>
      </c>
      <c r="AP157" s="6">
        <f>IF($AI$4=0,AG29*0.01,AG29*0.0254)</f>
        <v>0</v>
      </c>
    </row>
    <row r="158" spans="1:42">
      <c r="A158" s="1" t="s">
        <v>97</v>
      </c>
      <c r="B158" s="6">
        <f t="shared" si="74"/>
        <v>149.4363009913738</v>
      </c>
      <c r="E158" s="6">
        <f t="shared" si="75"/>
        <v>73.25259762775417</v>
      </c>
      <c r="G158" s="6">
        <f>B158^2</f>
        <v>22331.208053984465</v>
      </c>
      <c r="H158" s="6">
        <f>B158*E158</f>
        <v>10946.597227501066</v>
      </c>
      <c r="J158" s="1" t="s">
        <v>97</v>
      </c>
      <c r="L158" s="6">
        <f t="shared" si="60"/>
        <v>150.21248566499099</v>
      </c>
      <c r="M158" s="6">
        <f t="shared" si="61"/>
        <v>0.98003319671617817</v>
      </c>
      <c r="O158" s="6">
        <f t="shared" si="76"/>
        <v>150.21568265238417</v>
      </c>
      <c r="P158" s="6">
        <f t="shared" si="62"/>
        <v>6.5242199218988684E-3</v>
      </c>
      <c r="R158" s="6">
        <f t="shared" si="63"/>
        <v>150.21568265238417</v>
      </c>
      <c r="S158" s="6">
        <f t="shared" si="64"/>
        <v>-7.5357322911943211E-3</v>
      </c>
      <c r="AA158" s="1" t="s">
        <v>97</v>
      </c>
      <c r="AB158" s="6">
        <f t="shared" si="65"/>
        <v>149.4363009913738</v>
      </c>
      <c r="AC158" s="6">
        <f t="shared" si="66"/>
        <v>73.25259762775417</v>
      </c>
      <c r="AF158" s="6">
        <f>AB158^2</f>
        <v>22331.208053984465</v>
      </c>
      <c r="AG158" s="6">
        <f>AB158*AC158</f>
        <v>10946.597227501066</v>
      </c>
      <c r="AI158" s="6">
        <f t="shared" si="69"/>
        <v>0</v>
      </c>
      <c r="AJ158" s="6">
        <f t="shared" si="70"/>
        <v>1.4059952213093189E-2</v>
      </c>
      <c r="AL158" s="6">
        <f t="shared" si="71"/>
        <v>0</v>
      </c>
      <c r="AM158" s="6">
        <f t="shared" si="72"/>
        <v>0</v>
      </c>
      <c r="AO158" s="6">
        <f t="shared" si="73"/>
        <v>0</v>
      </c>
      <c r="AP158" s="6">
        <f>IF($AI$4=0,-AG30*0.01,-AG30*0.0254)</f>
        <v>0</v>
      </c>
    </row>
    <row r="159" spans="1:42">
      <c r="A159" s="1" t="s">
        <v>98</v>
      </c>
      <c r="B159" s="6">
        <f t="shared" si="74"/>
        <v>190.19999310796666</v>
      </c>
      <c r="E159" s="6">
        <f t="shared" si="75"/>
        <v>76.082400391898432</v>
      </c>
      <c r="G159" s="6">
        <f>B159^2</f>
        <v>36176.037378270565</v>
      </c>
      <c r="H159" s="6">
        <f>B159*E159</f>
        <v>14470.872030176643</v>
      </c>
      <c r="J159" s="1" t="s">
        <v>98</v>
      </c>
      <c r="L159" s="6">
        <f t="shared" si="60"/>
        <v>190.97617778158386</v>
      </c>
      <c r="M159" s="6">
        <f t="shared" si="61"/>
        <v>3.8098359608604397</v>
      </c>
      <c r="O159" s="6">
        <f t="shared" si="76"/>
        <v>191.01417573078652</v>
      </c>
      <c r="P159" s="6">
        <f t="shared" si="62"/>
        <v>1.9946627486051135E-2</v>
      </c>
      <c r="R159" s="6">
        <f t="shared" si="63"/>
        <v>191.01417573078652</v>
      </c>
      <c r="S159" s="6">
        <f t="shared" si="64"/>
        <v>5.8866752729579454E-3</v>
      </c>
      <c r="AA159" s="1" t="s">
        <v>98</v>
      </c>
      <c r="AB159" s="6">
        <f t="shared" si="65"/>
        <v>190.19999310796666</v>
      </c>
      <c r="AC159" s="6">
        <f t="shared" si="66"/>
        <v>76.082400391898432</v>
      </c>
      <c r="AF159" s="6">
        <f>AB159^2</f>
        <v>36176.037378270565</v>
      </c>
      <c r="AG159" s="6">
        <f>AB159*AC159</f>
        <v>14470.872030176643</v>
      </c>
      <c r="AI159" s="6">
        <f t="shared" si="69"/>
        <v>0</v>
      </c>
      <c r="AJ159" s="6">
        <f t="shared" si="70"/>
        <v>1.4059952213093189E-2</v>
      </c>
      <c r="AL159" s="6">
        <f t="shared" si="71"/>
        <v>0</v>
      </c>
      <c r="AM159" s="6">
        <f t="shared" si="72"/>
        <v>0</v>
      </c>
      <c r="AO159" s="6">
        <f t="shared" si="73"/>
        <v>0</v>
      </c>
      <c r="AP159" s="6">
        <f>IF($AI$4=0,AG31*0.01,AG31*0.0254)</f>
        <v>0</v>
      </c>
    </row>
    <row r="160" spans="1:42">
      <c r="A160" s="1" t="s">
        <v>99</v>
      </c>
      <c r="B160" s="6">
        <f t="shared" si="74"/>
        <v>190.23005763822226</v>
      </c>
      <c r="E160" s="6">
        <f t="shared" si="75"/>
        <v>73.804140977896211</v>
      </c>
      <c r="G160" s="6">
        <f>B160^2</f>
        <v>36187.474829041363</v>
      </c>
      <c r="H160" s="6">
        <f>B160*E160</f>
        <v>14039.765992164677</v>
      </c>
      <c r="J160" s="1" t="s">
        <v>99</v>
      </c>
      <c r="L160" s="6">
        <f t="shared" si="60"/>
        <v>191.00624231183946</v>
      </c>
      <c r="M160" s="6">
        <f t="shared" si="61"/>
        <v>1.5315765468582185</v>
      </c>
      <c r="O160" s="6">
        <f t="shared" si="76"/>
        <v>191.01238265831881</v>
      </c>
      <c r="P160" s="6">
        <f t="shared" si="62"/>
        <v>8.0182914702918665E-3</v>
      </c>
      <c r="R160" s="6">
        <f t="shared" si="63"/>
        <v>191.01238265831881</v>
      </c>
      <c r="S160" s="6">
        <f t="shared" si="64"/>
        <v>-6.041660742801323E-3</v>
      </c>
      <c r="AA160" s="1" t="s">
        <v>99</v>
      </c>
      <c r="AB160" s="6">
        <f t="shared" si="65"/>
        <v>190.23005763822226</v>
      </c>
      <c r="AC160" s="6">
        <f t="shared" si="66"/>
        <v>73.804140977896211</v>
      </c>
      <c r="AF160" s="6">
        <f>AB160^2</f>
        <v>36187.474829041363</v>
      </c>
      <c r="AG160" s="6">
        <f>AB160*AC160</f>
        <v>14039.765992164677</v>
      </c>
      <c r="AI160" s="6">
        <f t="shared" si="69"/>
        <v>0</v>
      </c>
      <c r="AJ160" s="6">
        <f t="shared" si="70"/>
        <v>1.4059952213093189E-2</v>
      </c>
      <c r="AL160" s="6">
        <f t="shared" si="71"/>
        <v>0</v>
      </c>
      <c r="AM160" s="6">
        <f t="shared" si="72"/>
        <v>0</v>
      </c>
      <c r="AO160" s="6">
        <f t="shared" si="73"/>
        <v>0</v>
      </c>
      <c r="AP160" s="6">
        <f>IF($AI$4=0,-AG32*0.01,-AG32*0.0254)</f>
        <v>0</v>
      </c>
    </row>
    <row r="161" spans="1:42">
      <c r="A161" s="1" t="s">
        <v>100</v>
      </c>
      <c r="B161" s="6">
        <f t="shared" si="74"/>
        <v>190.40441942900017</v>
      </c>
      <c r="E161" s="6">
        <f t="shared" si="75"/>
        <v>63.447465163571316</v>
      </c>
      <c r="J161" s="1" t="s">
        <v>100</v>
      </c>
      <c r="L161" s="6">
        <f t="shared" si="60"/>
        <v>191.18060410261737</v>
      </c>
      <c r="M161" s="6">
        <f t="shared" si="61"/>
        <v>-8.8250992674666762</v>
      </c>
      <c r="O161" s="6">
        <f t="shared" si="76"/>
        <v>191.38418367807293</v>
      </c>
      <c r="P161" s="6">
        <f t="shared" si="62"/>
        <v>-4.6128314162187545E-2</v>
      </c>
      <c r="R161" s="6">
        <f t="shared" si="63"/>
        <v>191.38418367807293</v>
      </c>
      <c r="S161" s="6">
        <f t="shared" si="64"/>
        <v>-6.0188266375280734E-2</v>
      </c>
      <c r="AA161" s="1" t="s">
        <v>100</v>
      </c>
      <c r="AB161" s="6">
        <f t="shared" si="65"/>
        <v>190.40441942900017</v>
      </c>
      <c r="AC161" s="6">
        <f t="shared" si="66"/>
        <v>63.447465163571316</v>
      </c>
      <c r="AI161" s="6">
        <f t="shared" si="69"/>
        <v>0</v>
      </c>
      <c r="AJ161" s="6">
        <f t="shared" si="70"/>
        <v>1.4059952213093189E-2</v>
      </c>
      <c r="AL161" s="6">
        <f t="shared" si="71"/>
        <v>0</v>
      </c>
      <c r="AM161" s="6">
        <f t="shared" si="72"/>
        <v>0</v>
      </c>
      <c r="AO161" s="6">
        <f t="shared" si="73"/>
        <v>0</v>
      </c>
      <c r="AP161" s="6">
        <f>IF($AI$4=0,-AG33*0.01,-AG33*0.0254)</f>
        <v>0</v>
      </c>
    </row>
    <row r="162" spans="1:42">
      <c r="A162" s="1" t="s">
        <v>101</v>
      </c>
      <c r="B162" s="6">
        <f t="shared" si="74"/>
        <v>231.09481619950986</v>
      </c>
      <c r="E162" s="6">
        <f t="shared" si="75"/>
        <v>86.974091297444602</v>
      </c>
      <c r="J162" s="1" t="s">
        <v>101</v>
      </c>
      <c r="L162" s="6">
        <f t="shared" si="60"/>
        <v>231.87100087312706</v>
      </c>
      <c r="M162" s="6">
        <f t="shared" si="61"/>
        <v>14.70152686640661</v>
      </c>
      <c r="O162" s="6">
        <f t="shared" si="76"/>
        <v>232.3366005133702</v>
      </c>
      <c r="P162" s="6">
        <f t="shared" si="62"/>
        <v>6.3319146752623887E-2</v>
      </c>
      <c r="R162" s="6">
        <f t="shared" si="63"/>
        <v>232.3366005133702</v>
      </c>
      <c r="S162" s="6">
        <f t="shared" si="64"/>
        <v>4.9259194539530697E-2</v>
      </c>
      <c r="AA162" s="1" t="s">
        <v>101</v>
      </c>
      <c r="AB162" s="6">
        <f t="shared" si="65"/>
        <v>231.09481619950986</v>
      </c>
      <c r="AC162" s="6">
        <f t="shared" si="66"/>
        <v>86.974091297444602</v>
      </c>
      <c r="AI162" s="6">
        <f t="shared" si="69"/>
        <v>0</v>
      </c>
      <c r="AJ162" s="6">
        <f t="shared" si="70"/>
        <v>1.4059952213093189E-2</v>
      </c>
      <c r="AL162" s="6">
        <f t="shared" si="71"/>
        <v>0</v>
      </c>
      <c r="AM162" s="6">
        <f t="shared" si="72"/>
        <v>0</v>
      </c>
      <c r="AO162" s="6">
        <f t="shared" si="73"/>
        <v>0</v>
      </c>
      <c r="AP162" s="6">
        <f>IF($AI$4=0,AG34*0.01,AG34*0.0254)</f>
        <v>0</v>
      </c>
    </row>
    <row r="163" spans="1:42">
      <c r="A163" s="1" t="s">
        <v>102</v>
      </c>
      <c r="B163" s="6">
        <f t="shared" si="74"/>
        <v>231.24040308075405</v>
      </c>
      <c r="E163" s="6">
        <f t="shared" si="75"/>
        <v>76.721409661808167</v>
      </c>
      <c r="G163" s="6">
        <f t="shared" ref="G163:G168" si="77">B163^2</f>
        <v>53472.124016949609</v>
      </c>
      <c r="H163" s="6">
        <f t="shared" ref="H163:H168" si="78">B163*E163</f>
        <v>17741.089695120179</v>
      </c>
      <c r="J163" s="1" t="s">
        <v>102</v>
      </c>
      <c r="L163" s="6">
        <f t="shared" si="60"/>
        <v>232.01658775437124</v>
      </c>
      <c r="M163" s="6">
        <f t="shared" si="61"/>
        <v>4.4488452307701749</v>
      </c>
      <c r="O163" s="6">
        <f t="shared" si="76"/>
        <v>232.05923643989954</v>
      </c>
      <c r="P163" s="6">
        <f t="shared" si="62"/>
        <v>1.9172336601134248E-2</v>
      </c>
      <c r="R163" s="6">
        <f t="shared" si="63"/>
        <v>232.05923643989954</v>
      </c>
      <c r="S163" s="6">
        <f t="shared" si="64"/>
        <v>5.1123843880410587E-3</v>
      </c>
      <c r="AA163" s="1" t="s">
        <v>102</v>
      </c>
      <c r="AB163" s="6">
        <f t="shared" si="65"/>
        <v>231.24040308075405</v>
      </c>
      <c r="AC163" s="6">
        <f t="shared" si="66"/>
        <v>76.721409661808167</v>
      </c>
      <c r="AF163" s="6">
        <f t="shared" ref="AF163:AF170" si="79">AB163^2</f>
        <v>53472.124016949609</v>
      </c>
      <c r="AG163" s="6">
        <f t="shared" ref="AG163:AG170" si="80">AB163*AC163</f>
        <v>17741.089695120179</v>
      </c>
      <c r="AI163" s="6">
        <f t="shared" si="69"/>
        <v>0</v>
      </c>
      <c r="AJ163" s="6">
        <f t="shared" si="70"/>
        <v>1.4059952213093189E-2</v>
      </c>
      <c r="AL163" s="6">
        <f t="shared" si="71"/>
        <v>0</v>
      </c>
      <c r="AM163" s="6">
        <f t="shared" si="72"/>
        <v>0</v>
      </c>
      <c r="AO163" s="6">
        <f t="shared" si="73"/>
        <v>0</v>
      </c>
      <c r="AP163" s="6">
        <f>IF($AI$4=0,AG35*0.01,AG35*0.0254)</f>
        <v>0</v>
      </c>
    </row>
    <row r="164" spans="1:42">
      <c r="A164" s="1" t="s">
        <v>103</v>
      </c>
      <c r="B164" s="6">
        <f t="shared" si="74"/>
        <v>231.27545222092826</v>
      </c>
      <c r="E164" s="6">
        <f t="shared" si="75"/>
        <v>74.444066315808996</v>
      </c>
      <c r="G164" s="6">
        <f t="shared" si="77"/>
        <v>53488.334799994867</v>
      </c>
      <c r="H164" s="6">
        <f t="shared" si="78"/>
        <v>17217.0851023535</v>
      </c>
      <c r="J164" s="1" t="s">
        <v>103</v>
      </c>
      <c r="L164" s="6">
        <f t="shared" si="60"/>
        <v>232.05163689454545</v>
      </c>
      <c r="M164" s="6">
        <f t="shared" si="61"/>
        <v>2.1715018847710041</v>
      </c>
      <c r="O164" s="6">
        <f t="shared" si="76"/>
        <v>232.06179695476274</v>
      </c>
      <c r="P164" s="6">
        <f t="shared" si="62"/>
        <v>9.3575659781322106E-3</v>
      </c>
      <c r="R164" s="6">
        <f t="shared" si="63"/>
        <v>232.06179695476274</v>
      </c>
      <c r="S164" s="6">
        <f t="shared" si="64"/>
        <v>-4.7023862349609789E-3</v>
      </c>
      <c r="AA164" s="1" t="s">
        <v>103</v>
      </c>
      <c r="AB164" s="6">
        <f t="shared" si="65"/>
        <v>231.27545222092826</v>
      </c>
      <c r="AC164" s="6">
        <f t="shared" si="66"/>
        <v>74.444066315808996</v>
      </c>
      <c r="AF164" s="6">
        <f t="shared" si="79"/>
        <v>53488.334799994867</v>
      </c>
      <c r="AG164" s="6">
        <f t="shared" si="80"/>
        <v>17217.0851023535</v>
      </c>
      <c r="AI164" s="6">
        <f t="shared" si="69"/>
        <v>0</v>
      </c>
      <c r="AJ164" s="6">
        <f t="shared" si="70"/>
        <v>1.4059952213093189E-2</v>
      </c>
      <c r="AL164" s="6">
        <f t="shared" si="71"/>
        <v>0</v>
      </c>
      <c r="AM164" s="6">
        <f t="shared" si="72"/>
        <v>0</v>
      </c>
      <c r="AO164" s="6">
        <f t="shared" si="73"/>
        <v>0</v>
      </c>
      <c r="AP164" s="6">
        <f>IF($AI$4=0,-AG36*0.01,-AG36*0.0254)</f>
        <v>0</v>
      </c>
    </row>
    <row r="165" spans="1:42">
      <c r="A165" s="1" t="s">
        <v>104</v>
      </c>
      <c r="B165" s="6">
        <f t="shared" si="74"/>
        <v>258.33912946353706</v>
      </c>
      <c r="E165" s="6">
        <f t="shared" si="75"/>
        <v>77.127675695462997</v>
      </c>
      <c r="G165" s="6">
        <f t="shared" si="77"/>
        <v>66739.105811978166</v>
      </c>
      <c r="H165" s="6">
        <f t="shared" si="78"/>
        <v>19925.096596711915</v>
      </c>
      <c r="J165" s="1" t="s">
        <v>104</v>
      </c>
      <c r="L165" s="6">
        <f t="shared" si="60"/>
        <v>259.11531413715426</v>
      </c>
      <c r="M165" s="6">
        <f t="shared" si="61"/>
        <v>4.8551112644250054</v>
      </c>
      <c r="O165" s="6">
        <f t="shared" si="76"/>
        <v>259.16079588893473</v>
      </c>
      <c r="P165" s="6">
        <f t="shared" si="62"/>
        <v>1.8735068649849859E-2</v>
      </c>
      <c r="R165" s="6">
        <f t="shared" si="63"/>
        <v>259.16079588893473</v>
      </c>
      <c r="S165" s="6">
        <f t="shared" si="64"/>
        <v>4.675116436756669E-3</v>
      </c>
      <c r="AA165" s="1" t="s">
        <v>104</v>
      </c>
      <c r="AB165" s="6">
        <f t="shared" si="65"/>
        <v>258.33912946353706</v>
      </c>
      <c r="AC165" s="6">
        <f t="shared" si="66"/>
        <v>77.127675695462997</v>
      </c>
      <c r="AF165" s="6">
        <f t="shared" si="79"/>
        <v>66739.105811978166</v>
      </c>
      <c r="AG165" s="6">
        <f t="shared" si="80"/>
        <v>19925.096596711915</v>
      </c>
      <c r="AI165" s="6">
        <f t="shared" si="69"/>
        <v>0</v>
      </c>
      <c r="AJ165" s="6">
        <f t="shared" si="70"/>
        <v>1.4059952213093189E-2</v>
      </c>
      <c r="AL165" s="6">
        <f t="shared" si="71"/>
        <v>0</v>
      </c>
      <c r="AM165" s="6">
        <f t="shared" si="72"/>
        <v>0</v>
      </c>
      <c r="AO165" s="6">
        <f t="shared" si="73"/>
        <v>0</v>
      </c>
      <c r="AP165" s="6">
        <f>IF($AI$4=0,AG37*0.01,AG37*0.0254)</f>
        <v>0</v>
      </c>
    </row>
    <row r="166" spans="1:42">
      <c r="A166" s="1" t="s">
        <v>105</v>
      </c>
      <c r="B166" s="6">
        <f t="shared" si="74"/>
        <v>258.35467691653241</v>
      </c>
      <c r="E166" s="6">
        <f t="shared" si="75"/>
        <v>74.637755965493525</v>
      </c>
      <c r="G166" s="6">
        <f t="shared" si="77"/>
        <v>66747.139084645853</v>
      </c>
      <c r="H166" s="6">
        <f t="shared" si="78"/>
        <v>19283.013328240071</v>
      </c>
      <c r="J166" s="1" t="s">
        <v>105</v>
      </c>
      <c r="L166" s="6">
        <f t="shared" si="60"/>
        <v>259.13086159014961</v>
      </c>
      <c r="M166" s="6">
        <f t="shared" si="61"/>
        <v>2.3651915344555334</v>
      </c>
      <c r="O166" s="6">
        <f t="shared" si="76"/>
        <v>259.14165539227372</v>
      </c>
      <c r="P166" s="6">
        <f t="shared" si="62"/>
        <v>9.1271485081960268E-3</v>
      </c>
      <c r="R166" s="6">
        <f t="shared" si="63"/>
        <v>259.14165539227372</v>
      </c>
      <c r="S166" s="6">
        <f t="shared" si="64"/>
        <v>-4.9328037048971627E-3</v>
      </c>
      <c r="AA166" s="1" t="s">
        <v>105</v>
      </c>
      <c r="AB166" s="6">
        <f t="shared" si="65"/>
        <v>258.35467691653241</v>
      </c>
      <c r="AC166" s="6">
        <f t="shared" si="66"/>
        <v>74.637755965493525</v>
      </c>
      <c r="AF166" s="6">
        <f t="shared" si="79"/>
        <v>66747.139084645853</v>
      </c>
      <c r="AG166" s="6">
        <f t="shared" si="80"/>
        <v>19283.013328240071</v>
      </c>
      <c r="AI166" s="6">
        <f t="shared" si="69"/>
        <v>0</v>
      </c>
      <c r="AJ166" s="6">
        <f t="shared" si="70"/>
        <v>1.4059952213093189E-2</v>
      </c>
      <c r="AL166" s="6">
        <f t="shared" si="71"/>
        <v>0</v>
      </c>
      <c r="AM166" s="6">
        <f t="shared" si="72"/>
        <v>0</v>
      </c>
      <c r="AO166" s="6">
        <f t="shared" si="73"/>
        <v>0</v>
      </c>
      <c r="AP166" s="6">
        <f>IF($AI$4=0,-AG38*0.01,-AG38*0.0254)</f>
        <v>0</v>
      </c>
    </row>
    <row r="167" spans="1:42">
      <c r="A167" s="1" t="s">
        <v>106</v>
      </c>
      <c r="B167" s="6">
        <f>IF(B97=0,0,((U134*H134)-(V134*S134)-E134+R134)/(U134-V134))</f>
        <v>313.12825978557254</v>
      </c>
      <c r="E167" s="6">
        <f>IF(C97=0,0,E134+U134*(B167-H134))</f>
        <v>77.784497445078415</v>
      </c>
      <c r="G167" s="6">
        <f t="shared" si="77"/>
        <v>98049.307076341007</v>
      </c>
      <c r="H167" s="6">
        <f t="shared" si="78"/>
        <v>24356.524323272719</v>
      </c>
      <c r="J167" s="1" t="s">
        <v>106</v>
      </c>
      <c r="L167" s="6">
        <f t="shared" si="60"/>
        <v>313.90444445918973</v>
      </c>
      <c r="M167" s="6">
        <f t="shared" si="61"/>
        <v>5.511933014040423</v>
      </c>
      <c r="O167" s="6">
        <f>IF(C97=0,0,SQRT(L167^2+M167^2))</f>
        <v>313.95283349061174</v>
      </c>
      <c r="P167" s="6">
        <f t="shared" si="62"/>
        <v>1.7557466043299639E-2</v>
      </c>
      <c r="R167" s="6">
        <f t="shared" si="63"/>
        <v>313.95283349061174</v>
      </c>
      <c r="S167" s="6">
        <f t="shared" si="64"/>
        <v>3.4975138302064494E-3</v>
      </c>
      <c r="AA167" s="1" t="s">
        <v>106</v>
      </c>
      <c r="AB167" s="6">
        <f t="shared" si="65"/>
        <v>313.12825978557254</v>
      </c>
      <c r="AC167" s="6">
        <f t="shared" si="66"/>
        <v>77.784497445078415</v>
      </c>
      <c r="AF167" s="6">
        <f t="shared" si="79"/>
        <v>98049.307076341007</v>
      </c>
      <c r="AG167" s="6">
        <f t="shared" si="80"/>
        <v>24356.524323272719</v>
      </c>
      <c r="AI167" s="6">
        <f t="shared" si="69"/>
        <v>0</v>
      </c>
      <c r="AJ167" s="6">
        <f t="shared" si="70"/>
        <v>1.4059952213093189E-2</v>
      </c>
      <c r="AL167" s="6">
        <f t="shared" si="71"/>
        <v>0</v>
      </c>
      <c r="AM167" s="6">
        <f t="shared" si="72"/>
        <v>0</v>
      </c>
      <c r="AO167" s="6">
        <f t="shared" si="73"/>
        <v>0</v>
      </c>
      <c r="AP167" s="6">
        <f>IF($AI$4=0,AG39*0.01,AG39*0.0254)</f>
        <v>0</v>
      </c>
    </row>
    <row r="168" spans="1:42">
      <c r="A168" s="1" t="s">
        <v>107</v>
      </c>
      <c r="B168" s="6">
        <f>IF(B98=0,0,((U135*H135)-(V135*S135)-E135+R135)/(U135-V135))</f>
        <v>313.18758024934539</v>
      </c>
      <c r="E168" s="6">
        <f>IF(C98=0,0,E135+U135*(B168-H135))</f>
        <v>75.55622230119306</v>
      </c>
      <c r="G168" s="6">
        <f t="shared" si="77"/>
        <v>98086.460422440156</v>
      </c>
      <c r="H168" s="6">
        <f t="shared" si="78"/>
        <v>23663.270435292281</v>
      </c>
      <c r="J168" s="1" t="s">
        <v>107</v>
      </c>
      <c r="L168" s="6">
        <f t="shared" si="60"/>
        <v>313.96376492296258</v>
      </c>
      <c r="M168" s="6">
        <f t="shared" si="61"/>
        <v>3.2836578701550678</v>
      </c>
      <c r="O168" s="6">
        <f>IF(C98=0,0,SQRT(L168^2+M168^2))</f>
        <v>313.98093587606485</v>
      </c>
      <c r="P168" s="6">
        <f t="shared" si="62"/>
        <v>1.0458334742743526E-2</v>
      </c>
      <c r="R168" s="6">
        <f t="shared" si="63"/>
        <v>313.98093587606485</v>
      </c>
      <c r="S168" s="6">
        <f t="shared" si="64"/>
        <v>-3.6016174703496634E-3</v>
      </c>
      <c r="AA168" s="1" t="s">
        <v>107</v>
      </c>
      <c r="AB168" s="6">
        <f t="shared" si="65"/>
        <v>313.18758024934539</v>
      </c>
      <c r="AC168" s="6">
        <f t="shared" si="66"/>
        <v>75.55622230119306</v>
      </c>
      <c r="AF168" s="6">
        <f t="shared" si="79"/>
        <v>98086.460422440156</v>
      </c>
      <c r="AG168" s="6">
        <f t="shared" si="80"/>
        <v>23663.270435292281</v>
      </c>
      <c r="AI168" s="6">
        <f t="shared" si="69"/>
        <v>0</v>
      </c>
      <c r="AJ168" s="6">
        <f t="shared" si="70"/>
        <v>1.4059952213093189E-2</v>
      </c>
      <c r="AL168" s="6">
        <f t="shared" si="71"/>
        <v>0</v>
      </c>
      <c r="AM168" s="6">
        <f t="shared" si="72"/>
        <v>0</v>
      </c>
      <c r="AO168" s="6">
        <f t="shared" si="73"/>
        <v>0</v>
      </c>
      <c r="AP168" s="6">
        <f>IF($AI$4=0,-AG40*0.01,-AG40*0.0254)</f>
        <v>0</v>
      </c>
    </row>
    <row r="169" spans="1:42">
      <c r="A169" s="1" t="s">
        <v>96</v>
      </c>
      <c r="B169" s="6">
        <f>((U136*H136)-(V136*S136)-E136+R136)/(U136-V136)</f>
        <v>74.635672818475371</v>
      </c>
      <c r="E169" s="6">
        <f>E136+U136*(B169-H136)</f>
        <v>0.34745230056269399</v>
      </c>
      <c r="J169" s="1" t="s">
        <v>96</v>
      </c>
      <c r="L169" s="6">
        <f t="shared" si="60"/>
        <v>75.411857492092565</v>
      </c>
      <c r="M169" s="6">
        <f t="shared" si="61"/>
        <v>-71.925112130475298</v>
      </c>
      <c r="O169" s="6">
        <f>SQRT(L169^2+M169^2)</f>
        <v>104.21213943389283</v>
      </c>
      <c r="P169" s="6">
        <f t="shared" si="62"/>
        <v>-0.76173747126684621</v>
      </c>
      <c r="R169" s="6">
        <f t="shared" si="63"/>
        <v>104.21213943389283</v>
      </c>
      <c r="S169" s="6">
        <f t="shared" si="64"/>
        <v>-0.77579742347993941</v>
      </c>
      <c r="AA169" s="1" t="s">
        <v>96</v>
      </c>
      <c r="AB169" s="6">
        <f t="shared" si="65"/>
        <v>74.635672818475371</v>
      </c>
      <c r="AC169" s="6">
        <f t="shared" si="66"/>
        <v>0.34745230056269399</v>
      </c>
      <c r="AF169" s="6">
        <f t="shared" si="79"/>
        <v>5570.4836570665029</v>
      </c>
      <c r="AG169" s="6">
        <f t="shared" si="80"/>
        <v>25.932336224823796</v>
      </c>
      <c r="AI169" s="6">
        <f t="shared" si="69"/>
        <v>0</v>
      </c>
      <c r="AJ169" s="6">
        <f t="shared" si="70"/>
        <v>1.4059952213093189E-2</v>
      </c>
      <c r="AL169" s="6">
        <f t="shared" si="71"/>
        <v>0</v>
      </c>
      <c r="AM169" s="6">
        <f>IF(AND(AF44=0,AG44=0),0,ATAN2(AO169,AP169))</f>
        <v>0</v>
      </c>
      <c r="AO169" s="6">
        <f>IF($AI$4=0,AF44*0.01,AF44*0.0254)</f>
        <v>0</v>
      </c>
      <c r="AP169" s="6">
        <f>IF($AI$4=0,-AG44*0.01,-AG44*0.0254)</f>
        <v>0</v>
      </c>
    </row>
    <row r="170" spans="1:42">
      <c r="A170" s="1" t="s">
        <v>109</v>
      </c>
      <c r="B170" s="6">
        <f>((U137*H137)-(V137*S137)-E137+R137)/(U137-V137)</f>
        <v>210.8072200956471</v>
      </c>
      <c r="E170" s="6">
        <f>E137+U137*(B170-H137)</f>
        <v>116.33041192493705</v>
      </c>
      <c r="J170" s="1" t="s">
        <v>109</v>
      </c>
      <c r="L170" s="6">
        <f t="shared" si="60"/>
        <v>211.58340476926429</v>
      </c>
      <c r="M170" s="6">
        <f t="shared" si="61"/>
        <v>44.057847493899061</v>
      </c>
      <c r="O170" s="6">
        <f>SQRT(L170^2+M170^2)</f>
        <v>216.12179690986747</v>
      </c>
      <c r="P170" s="6">
        <f t="shared" si="62"/>
        <v>0.20529560531685709</v>
      </c>
      <c r="R170" s="6">
        <f t="shared" si="63"/>
        <v>216.12179690986747</v>
      </c>
      <c r="S170" s="6">
        <f t="shared" si="64"/>
        <v>0.19123565310376389</v>
      </c>
      <c r="AA170" s="1" t="s">
        <v>109</v>
      </c>
      <c r="AB170" s="6">
        <f t="shared" si="65"/>
        <v>210.8072200956471</v>
      </c>
      <c r="AC170" s="6">
        <f t="shared" si="66"/>
        <v>116.33041192493705</v>
      </c>
      <c r="AF170" s="6">
        <f t="shared" si="79"/>
        <v>44439.684044454596</v>
      </c>
      <c r="AG170" s="6">
        <f t="shared" si="80"/>
        <v>24523.290750477496</v>
      </c>
      <c r="AI170" s="6">
        <f t="shared" si="69"/>
        <v>0</v>
      </c>
      <c r="AJ170" s="6">
        <f t="shared" si="70"/>
        <v>1.4059952213093189E-2</v>
      </c>
      <c r="AL170" s="6">
        <f t="shared" si="71"/>
        <v>0</v>
      </c>
      <c r="AM170" s="6">
        <f>IF(AND(AF45=0,AG45=0),0,ATAN2(AO170,AP170))</f>
        <v>0</v>
      </c>
      <c r="AO170" s="6">
        <f>IF($AI$4=0,AF45*0.01,AF45*0.0254)</f>
        <v>0</v>
      </c>
      <c r="AP170" s="6">
        <f>IF($AI$4=0,-AG45*0.01,-AG45*0.0254)</f>
        <v>0</v>
      </c>
    </row>
    <row r="173" spans="1:42">
      <c r="E173" s="1" t="s">
        <v>251</v>
      </c>
      <c r="K173" s="1" t="s">
        <v>252</v>
      </c>
      <c r="AF173" s="1" t="s">
        <v>251</v>
      </c>
    </row>
    <row r="174" spans="1:42">
      <c r="E174" s="4" t="s">
        <v>211</v>
      </c>
      <c r="H174" s="4" t="s">
        <v>212</v>
      </c>
      <c r="K174" s="1" t="s">
        <v>253</v>
      </c>
      <c r="AF174" s="4" t="s">
        <v>211</v>
      </c>
      <c r="AG174" s="4" t="s">
        <v>212</v>
      </c>
    </row>
    <row r="175" spans="1:42">
      <c r="E175" s="4" t="s">
        <v>75</v>
      </c>
      <c r="H175" s="4" t="s">
        <v>75</v>
      </c>
      <c r="L175" s="4" t="s">
        <v>75</v>
      </c>
      <c r="AF175" s="4" t="s">
        <v>75</v>
      </c>
      <c r="AG175" s="4" t="s">
        <v>75</v>
      </c>
    </row>
    <row r="176" spans="1:42">
      <c r="A176" s="1" t="s">
        <v>254</v>
      </c>
      <c r="AA176" s="1" t="s">
        <v>254</v>
      </c>
    </row>
    <row r="177" spans="1:33">
      <c r="A177" s="1" t="s">
        <v>255</v>
      </c>
      <c r="E177" s="6">
        <f>SUM(G143:G168)</f>
        <v>593628.81033381738</v>
      </c>
      <c r="H177" s="6">
        <f>SUM(H143:H168)</f>
        <v>194420.54072681174</v>
      </c>
      <c r="L177" s="6">
        <f>PI()/180</f>
        <v>1.7453292519943295E-2</v>
      </c>
      <c r="M177" s="1" t="s">
        <v>256</v>
      </c>
      <c r="AA177" s="1" t="s">
        <v>255</v>
      </c>
      <c r="AF177" s="6">
        <f>SUM(AF143:AF168)</f>
        <v>593628.81033381738</v>
      </c>
      <c r="AG177" s="6">
        <f>SUM(AG143:AG168)</f>
        <v>194420.54072681174</v>
      </c>
    </row>
    <row r="178" spans="1:33">
      <c r="A178" s="1" t="s">
        <v>257</v>
      </c>
      <c r="E178" s="6">
        <f>(SUM(B143:B148)+SUM(B151:B154)+SUM(B157:B160)+SUM(B163:B168))/C100</f>
        <v>128.71101561115009</v>
      </c>
      <c r="H178" s="6">
        <f>(SUM(E143:E148)+SUM(E151:E154)+SUM(E157:E160)+SUM(E163:E168))/C100</f>
        <v>74.09326825444343</v>
      </c>
      <c r="L178" s="6">
        <f>PI()/360</f>
        <v>8.7266462599716477E-3</v>
      </c>
      <c r="M178" s="1" t="s">
        <v>258</v>
      </c>
      <c r="AA178" s="1" t="s">
        <v>257</v>
      </c>
      <c r="AF178" s="6">
        <f>(SUM(AB143:AB148)+SUM(AB151:AB154)+SUM(AB157:AB160)+SUM(AB163:AB168))/C100</f>
        <v>128.71101561115009</v>
      </c>
      <c r="AG178" s="6">
        <f>(SUM(AC143:AC148)+SUM(AC151:AC154)+SUM(AC157:AC160)+SUM(AC163:AC168))/C100</f>
        <v>74.09326825444343</v>
      </c>
    </row>
    <row r="179" spans="1:33">
      <c r="L179" s="6">
        <f>180/PI()</f>
        <v>57.295779513082323</v>
      </c>
      <c r="M179" s="1" t="s">
        <v>259</v>
      </c>
    </row>
    <row r="180" spans="1:33">
      <c r="A180" s="1" t="s">
        <v>260</v>
      </c>
      <c r="E180" s="6">
        <f>E178-129.5*COS(E182)</f>
        <v>-0.77618467361719468</v>
      </c>
      <c r="H180" s="6">
        <f>H178-129.5*SIN(E182)</f>
        <v>72.272564431037992</v>
      </c>
      <c r="AA180" s="1" t="s">
        <v>260</v>
      </c>
      <c r="AF180" s="6">
        <f>AF178-129.5*COS(AF182)</f>
        <v>-0.77618467361719468</v>
      </c>
      <c r="AG180" s="6">
        <f>AG178-129.5*SIN(AF182)</f>
        <v>72.272564431037992</v>
      </c>
    </row>
    <row r="181" spans="1:33">
      <c r="A181" s="1" t="s">
        <v>261</v>
      </c>
      <c r="E181" s="6">
        <f>(H177-(C100*E178*H178))/(E177-(C100*E178^2))</f>
        <v>1.4060878754049553E-2</v>
      </c>
      <c r="AA181" s="1" t="s">
        <v>261</v>
      </c>
      <c r="AF181" s="6">
        <f>(AG177-(C100*AF178*AG178))/(AF177-(C100*AF178^2))</f>
        <v>1.4060878754049553E-2</v>
      </c>
    </row>
    <row r="182" spans="1:33">
      <c r="A182" s="1" t="s">
        <v>262</v>
      </c>
      <c r="E182" s="6">
        <f>ATAN(E181)</f>
        <v>1.4059952213093189E-2</v>
      </c>
      <c r="F182" s="1" t="s">
        <v>263</v>
      </c>
      <c r="AA182" s="1" t="s">
        <v>262</v>
      </c>
      <c r="AF182" s="6">
        <f>ATAN(AF181)</f>
        <v>1.4059952213093189E-2</v>
      </c>
      <c r="AG182" s="1" t="s">
        <v>263</v>
      </c>
    </row>
    <row r="186" spans="1:33">
      <c r="A186" s="1" t="s">
        <v>264</v>
      </c>
    </row>
    <row r="187" spans="1:33">
      <c r="A187" s="1" t="s">
        <v>265</v>
      </c>
    </row>
    <row r="189" spans="1:33">
      <c r="A189" s="1" t="s">
        <v>266</v>
      </c>
    </row>
    <row r="190" spans="1:33">
      <c r="A190" s="1" t="s">
        <v>267</v>
      </c>
    </row>
    <row r="191" spans="1:33">
      <c r="A191" s="1" t="s">
        <v>268</v>
      </c>
    </row>
    <row r="192" spans="1:33">
      <c r="A192" s="1" t="s">
        <v>269</v>
      </c>
    </row>
    <row r="193" spans="1:1">
      <c r="A193" s="1" t="s">
        <v>270</v>
      </c>
    </row>
    <row r="194" spans="1:1">
      <c r="A194" s="1" t="s">
        <v>271</v>
      </c>
    </row>
    <row r="195" spans="1:1">
      <c r="A195" s="1" t="s">
        <v>272</v>
      </c>
    </row>
    <row r="196" spans="1:1">
      <c r="A196" s="1" t="s">
        <v>273</v>
      </c>
    </row>
    <row r="198" spans="1:1">
      <c r="A198" s="1" t="s">
        <v>274</v>
      </c>
    </row>
    <row r="199" spans="1:1">
      <c r="A199" s="1" t="s">
        <v>275</v>
      </c>
    </row>
    <row r="200" spans="1:1">
      <c r="A200" s="1" t="s">
        <v>276</v>
      </c>
    </row>
    <row r="201" spans="1:1">
      <c r="A201" s="1" t="s">
        <v>277</v>
      </c>
    </row>
    <row r="202" spans="1:1">
      <c r="A202" s="1" t="s">
        <v>278</v>
      </c>
    </row>
    <row r="203" spans="1:1">
      <c r="A203" s="1" t="s">
        <v>279</v>
      </c>
    </row>
    <row r="205" spans="1:1">
      <c r="A205" s="1" t="s">
        <v>280</v>
      </c>
    </row>
    <row r="206" spans="1:1">
      <c r="A206" s="1" t="s">
        <v>281</v>
      </c>
    </row>
    <row r="207" spans="1:1">
      <c r="A207" s="1" t="s">
        <v>282</v>
      </c>
    </row>
    <row r="208" spans="1:1">
      <c r="A208" s="1" t="s">
        <v>283</v>
      </c>
    </row>
    <row r="209" spans="1:1">
      <c r="A209" s="1" t="s">
        <v>284</v>
      </c>
    </row>
    <row r="210" spans="1:1">
      <c r="A210" s="1" t="s">
        <v>285</v>
      </c>
    </row>
    <row r="212" spans="1:1">
      <c r="A212" s="1" t="s">
        <v>286</v>
      </c>
    </row>
    <row r="213" spans="1:1">
      <c r="A213" s="1" t="s">
        <v>287</v>
      </c>
    </row>
    <row r="214" spans="1:1">
      <c r="A214" s="1" t="s">
        <v>288</v>
      </c>
    </row>
    <row r="215" spans="1:1">
      <c r="A215" s="1" t="s">
        <v>289</v>
      </c>
    </row>
    <row r="216" spans="1:1">
      <c r="A216" s="1" t="s">
        <v>290</v>
      </c>
    </row>
    <row r="217" spans="1:1">
      <c r="A217" s="1" t="s">
        <v>291</v>
      </c>
    </row>
    <row r="218" spans="1:1">
      <c r="A218" s="1" t="s">
        <v>292</v>
      </c>
    </row>
    <row r="219" spans="1:1">
      <c r="A219" s="1" t="s">
        <v>293</v>
      </c>
    </row>
    <row r="220" spans="1:1">
      <c r="A220" s="1" t="s">
        <v>294</v>
      </c>
    </row>
    <row r="221" spans="1:1">
      <c r="A221" s="1" t="s">
        <v>295</v>
      </c>
    </row>
    <row r="222" spans="1:1">
      <c r="A222" s="1" t="s">
        <v>296</v>
      </c>
    </row>
    <row r="224" spans="1:1">
      <c r="A224" s="1" t="s">
        <v>297</v>
      </c>
    </row>
    <row r="225" spans="1:1">
      <c r="A225" s="1" t="s">
        <v>298</v>
      </c>
    </row>
    <row r="226" spans="1:1">
      <c r="A226" s="1" t="s">
        <v>299</v>
      </c>
    </row>
    <row r="227" spans="1:1">
      <c r="A227" s="1" t="s">
        <v>300</v>
      </c>
    </row>
    <row r="228" spans="1:1">
      <c r="A228" s="1" t="s">
        <v>301</v>
      </c>
    </row>
    <row r="229" spans="1:1">
      <c r="A229" s="1" t="s">
        <v>302</v>
      </c>
    </row>
    <row r="230" spans="1:1">
      <c r="A230" s="1" t="s">
        <v>303</v>
      </c>
    </row>
    <row r="231" spans="1:1">
      <c r="A231" s="1" t="s">
        <v>304</v>
      </c>
    </row>
    <row r="233" spans="1:1">
      <c r="A233" s="1" t="s">
        <v>305</v>
      </c>
    </row>
    <row r="234" spans="1:1">
      <c r="A234" s="1" t="s">
        <v>306</v>
      </c>
    </row>
    <row r="235" spans="1:1">
      <c r="A235" s="1" t="s">
        <v>307</v>
      </c>
    </row>
    <row r="237" spans="1:1">
      <c r="A237" s="1" t="s">
        <v>308</v>
      </c>
    </row>
    <row r="238" spans="1:1">
      <c r="A238" s="1" t="s">
        <v>309</v>
      </c>
    </row>
    <row r="239" spans="1:1">
      <c r="A239" s="1" t="s">
        <v>310</v>
      </c>
    </row>
    <row r="240" spans="1:1">
      <c r="A240" s="1" t="s">
        <v>311</v>
      </c>
    </row>
    <row r="241" spans="1:1">
      <c r="A241" s="1" t="s">
        <v>312</v>
      </c>
    </row>
    <row r="242" spans="1:1">
      <c r="A242" s="1" t="s">
        <v>313</v>
      </c>
    </row>
    <row r="243" spans="1:1">
      <c r="A243" s="1" t="s">
        <v>314</v>
      </c>
    </row>
    <row r="244" spans="1:1">
      <c r="A244" s="1" t="s">
        <v>315</v>
      </c>
    </row>
    <row r="245" spans="1:1">
      <c r="A245" s="1" t="s">
        <v>316</v>
      </c>
    </row>
    <row r="246" spans="1:1">
      <c r="A246" s="1" t="s">
        <v>317</v>
      </c>
    </row>
    <row r="247" spans="1:1">
      <c r="A247" s="1" t="s">
        <v>318</v>
      </c>
    </row>
    <row r="248" spans="1:1">
      <c r="A248" s="1" t="s">
        <v>319</v>
      </c>
    </row>
    <row r="249" spans="1:1">
      <c r="A249" s="1" t="s">
        <v>320</v>
      </c>
    </row>
    <row r="250" spans="1:1">
      <c r="A250" s="1" t="s">
        <v>321</v>
      </c>
    </row>
    <row r="251" spans="1:1">
      <c r="A251" s="1" t="s">
        <v>322</v>
      </c>
    </row>
    <row r="253" spans="1:1">
      <c r="A253" s="1" t="s">
        <v>323</v>
      </c>
    </row>
    <row r="254" spans="1:1">
      <c r="A254" s="1" t="s">
        <v>324</v>
      </c>
    </row>
    <row r="255" spans="1:1">
      <c r="A255" s="1" t="s">
        <v>325</v>
      </c>
    </row>
    <row r="256" spans="1:1">
      <c r="A256" s="1" t="s">
        <v>326</v>
      </c>
    </row>
    <row r="257" spans="1:1">
      <c r="A257" s="1" t="s">
        <v>327</v>
      </c>
    </row>
    <row r="258" spans="1:1">
      <c r="A258" s="1" t="s">
        <v>328</v>
      </c>
    </row>
    <row r="259" spans="1:1">
      <c r="A259" s="1" t="s">
        <v>329</v>
      </c>
    </row>
    <row r="260" spans="1:1">
      <c r="A260" s="1" t="s">
        <v>330</v>
      </c>
    </row>
    <row r="261" spans="1:1">
      <c r="A261" s="1" t="s">
        <v>331</v>
      </c>
    </row>
    <row r="263" spans="1:1">
      <c r="A263" s="1" t="s">
        <v>332</v>
      </c>
    </row>
    <row r="265" spans="1:1">
      <c r="A265" s="1" t="s">
        <v>333</v>
      </c>
    </row>
    <row r="266" spans="1:1">
      <c r="A266" s="1" t="s">
        <v>334</v>
      </c>
    </row>
    <row r="267" spans="1:1">
      <c r="A267" s="1" t="s">
        <v>335</v>
      </c>
    </row>
    <row r="268" spans="1:1">
      <c r="A268" s="1" t="s">
        <v>336</v>
      </c>
    </row>
    <row r="269" spans="1:1">
      <c r="A269" s="1" t="s">
        <v>337</v>
      </c>
    </row>
    <row r="271" spans="1:1">
      <c r="A271" s="1" t="s">
        <v>338</v>
      </c>
    </row>
    <row r="272" spans="1:1">
      <c r="A272" s="1" t="s">
        <v>339</v>
      </c>
    </row>
    <row r="273" spans="1:1">
      <c r="A273" s="1" t="s">
        <v>340</v>
      </c>
    </row>
    <row r="274" spans="1:1">
      <c r="A274" s="1" t="s">
        <v>341</v>
      </c>
    </row>
    <row r="275" spans="1:1">
      <c r="A275" s="1" t="s">
        <v>342</v>
      </c>
    </row>
    <row r="276" spans="1:1">
      <c r="A276" s="1" t="s">
        <v>343</v>
      </c>
    </row>
    <row r="277" spans="1:1">
      <c r="A277" s="1" t="s">
        <v>344</v>
      </c>
    </row>
    <row r="278" spans="1:1">
      <c r="A278" s="1" t="s">
        <v>345</v>
      </c>
    </row>
    <row r="279" spans="1:1">
      <c r="A279" s="1" t="s">
        <v>346</v>
      </c>
    </row>
    <row r="281" spans="1:1">
      <c r="A281" s="1" t="s">
        <v>347</v>
      </c>
    </row>
    <row r="282" spans="1:1">
      <c r="A282" s="1" t="s">
        <v>348</v>
      </c>
    </row>
    <row r="283" spans="1:1">
      <c r="A283" s="1" t="s">
        <v>349</v>
      </c>
    </row>
    <row r="284" spans="1:1">
      <c r="A284" s="1" t="s">
        <v>350</v>
      </c>
    </row>
    <row r="285" spans="1:1">
      <c r="A285" s="1" t="s">
        <v>351</v>
      </c>
    </row>
    <row r="286" spans="1:1">
      <c r="A286" s="1" t="s">
        <v>352</v>
      </c>
    </row>
    <row r="287" spans="1:1">
      <c r="A287" s="1" t="s">
        <v>353</v>
      </c>
    </row>
    <row r="288" spans="1:1">
      <c r="A288" s="1" t="s">
        <v>354</v>
      </c>
    </row>
    <row r="289" spans="1:1">
      <c r="A289" s="1" t="s">
        <v>355</v>
      </c>
    </row>
    <row r="290" spans="1:1">
      <c r="A290" s="1" t="s">
        <v>356</v>
      </c>
    </row>
    <row r="292" spans="1:1">
      <c r="A292" s="1" t="s">
        <v>357</v>
      </c>
    </row>
    <row r="293" spans="1:1">
      <c r="A293" s="1" t="s">
        <v>358</v>
      </c>
    </row>
    <row r="294" spans="1:1">
      <c r="A294" s="1" t="s">
        <v>359</v>
      </c>
    </row>
    <row r="296" spans="1:1">
      <c r="A296" s="1" t="s">
        <v>360</v>
      </c>
    </row>
    <row r="297" spans="1:1">
      <c r="A297" s="1" t="s">
        <v>361</v>
      </c>
    </row>
    <row r="298" spans="1:1">
      <c r="A298" s="1" t="s">
        <v>362</v>
      </c>
    </row>
    <row r="299" spans="1:1">
      <c r="A299" s="1" t="s">
        <v>363</v>
      </c>
    </row>
    <row r="301" spans="1:1">
      <c r="A301" s="1" t="s">
        <v>364</v>
      </c>
    </row>
    <row r="302" spans="1:1">
      <c r="A302" s="1" t="s">
        <v>365</v>
      </c>
    </row>
    <row r="303" spans="1:1">
      <c r="A303" s="1" t="s">
        <v>366</v>
      </c>
    </row>
    <row r="304" spans="1:1">
      <c r="A304" s="1" t="s">
        <v>367</v>
      </c>
    </row>
    <row r="305" spans="1:1">
      <c r="A305" s="1" t="s">
        <v>368</v>
      </c>
    </row>
    <row r="306" spans="1:1">
      <c r="A306" s="1" t="s">
        <v>369</v>
      </c>
    </row>
    <row r="308" spans="1:1">
      <c r="A308" s="1" t="s">
        <v>370</v>
      </c>
    </row>
    <row r="309" spans="1:1">
      <c r="A309" s="1" t="s">
        <v>371</v>
      </c>
    </row>
    <row r="310" spans="1:1">
      <c r="A310" s="1" t="s">
        <v>372</v>
      </c>
    </row>
    <row r="311" spans="1:1">
      <c r="A311" s="1" t="s">
        <v>373</v>
      </c>
    </row>
    <row r="312" spans="1:1">
      <c r="A312" s="1" t="s">
        <v>374</v>
      </c>
    </row>
    <row r="313" spans="1:1">
      <c r="A313" s="1" t="s">
        <v>375</v>
      </c>
    </row>
    <row r="314" spans="1:1">
      <c r="A314" s="1" t="s">
        <v>376</v>
      </c>
    </row>
    <row r="315" spans="1:1">
      <c r="A315" s="1" t="s">
        <v>377</v>
      </c>
    </row>
    <row r="317" spans="1:1">
      <c r="A317" s="1" t="s">
        <v>378</v>
      </c>
    </row>
    <row r="318" spans="1:1">
      <c r="A318" s="1" t="s">
        <v>379</v>
      </c>
    </row>
    <row r="319" spans="1:1">
      <c r="A319" s="1" t="s">
        <v>380</v>
      </c>
    </row>
    <row r="320" spans="1:1">
      <c r="A320" s="1" t="s">
        <v>381</v>
      </c>
    </row>
    <row r="321" spans="1:1">
      <c r="A321" s="1" t="s">
        <v>382</v>
      </c>
    </row>
    <row r="322" spans="1:1">
      <c r="A322" s="1" t="s">
        <v>383</v>
      </c>
    </row>
    <row r="323" spans="1:1">
      <c r="A323" s="1" t="s">
        <v>384</v>
      </c>
    </row>
    <row r="324" spans="1:1">
      <c r="A324" s="1" t="s">
        <v>385</v>
      </c>
    </row>
    <row r="326" spans="1:1">
      <c r="A326" s="1" t="s">
        <v>386</v>
      </c>
    </row>
    <row r="328" spans="1:1">
      <c r="A328" s="1" t="s">
        <v>387</v>
      </c>
    </row>
    <row r="329" spans="1:1">
      <c r="A329" s="1" t="s">
        <v>388</v>
      </c>
    </row>
    <row r="330" spans="1:1">
      <c r="A330" s="1" t="s">
        <v>389</v>
      </c>
    </row>
    <row r="331" spans="1:1">
      <c r="A331" s="1" t="s">
        <v>390</v>
      </c>
    </row>
    <row r="332" spans="1:1">
      <c r="A332" s="1" t="s">
        <v>391</v>
      </c>
    </row>
    <row r="333" spans="1:1">
      <c r="A333" s="1" t="s">
        <v>392</v>
      </c>
    </row>
    <row r="334" spans="1:1">
      <c r="A334" s="1" t="s">
        <v>393</v>
      </c>
    </row>
    <row r="335" spans="1:1">
      <c r="A335" s="1" t="s">
        <v>394</v>
      </c>
    </row>
    <row r="336" spans="1:1">
      <c r="A336" s="1" t="s">
        <v>395</v>
      </c>
    </row>
    <row r="337" spans="1:1">
      <c r="A337" s="1" t="s">
        <v>396</v>
      </c>
    </row>
    <row r="339" spans="1:1">
      <c r="A339" s="1" t="s">
        <v>397</v>
      </c>
    </row>
    <row r="340" spans="1:1">
      <c r="A340" s="1" t="s">
        <v>398</v>
      </c>
    </row>
    <row r="341" spans="1:1">
      <c r="A341" s="1" t="s">
        <v>399</v>
      </c>
    </row>
    <row r="342" spans="1:1">
      <c r="A342" s="1" t="s">
        <v>400</v>
      </c>
    </row>
    <row r="343" spans="1:1">
      <c r="A343" s="1" t="s">
        <v>401</v>
      </c>
    </row>
    <row r="344" spans="1:1">
      <c r="A344" s="1" t="s">
        <v>402</v>
      </c>
    </row>
    <row r="345" spans="1:1">
      <c r="A345" s="1" t="s">
        <v>403</v>
      </c>
    </row>
    <row r="347" spans="1:1">
      <c r="A347" s="1" t="s">
        <v>404</v>
      </c>
    </row>
    <row r="348" spans="1:1">
      <c r="A348" s="1" t="s">
        <v>405</v>
      </c>
    </row>
    <row r="349" spans="1:1">
      <c r="A349" s="1" t="s">
        <v>406</v>
      </c>
    </row>
    <row r="350" spans="1:1">
      <c r="A350" s="1" t="s">
        <v>407</v>
      </c>
    </row>
    <row r="351" spans="1:1">
      <c r="A351" s="1" t="s">
        <v>408</v>
      </c>
    </row>
    <row r="352" spans="1:1">
      <c r="A352" s="1" t="s">
        <v>409</v>
      </c>
    </row>
    <row r="354" spans="1:1">
      <c r="A354" s="1" t="s">
        <v>410</v>
      </c>
    </row>
    <row r="355" spans="1:1">
      <c r="A355" s="1" t="s">
        <v>411</v>
      </c>
    </row>
    <row r="356" spans="1:1">
      <c r="A356" s="1" t="s">
        <v>412</v>
      </c>
    </row>
    <row r="357" spans="1:1">
      <c r="A357" s="1" t="s">
        <v>413</v>
      </c>
    </row>
    <row r="358" spans="1:1">
      <c r="A358" s="1" t="s">
        <v>414</v>
      </c>
    </row>
    <row r="359" spans="1:1">
      <c r="A359" s="1" t="s">
        <v>415</v>
      </c>
    </row>
    <row r="360" spans="1:1">
      <c r="A360" s="1" t="s">
        <v>416</v>
      </c>
    </row>
    <row r="362" spans="1:1">
      <c r="A362" s="1" t="s">
        <v>417</v>
      </c>
    </row>
    <row r="363" spans="1:1">
      <c r="A363" s="1" t="s">
        <v>418</v>
      </c>
    </row>
    <row r="364" spans="1:1">
      <c r="A364" s="1" t="s">
        <v>419</v>
      </c>
    </row>
    <row r="365" spans="1:1">
      <c r="A365" s="1" t="s">
        <v>420</v>
      </c>
    </row>
    <row r="366" spans="1:1">
      <c r="A366" s="1" t="s">
        <v>421</v>
      </c>
    </row>
    <row r="367" spans="1:1">
      <c r="A367" s="1" t="s">
        <v>422</v>
      </c>
    </row>
    <row r="368" spans="1:1">
      <c r="A368" s="1" t="s">
        <v>423</v>
      </c>
    </row>
    <row r="369" spans="1:1">
      <c r="A369" s="1" t="s">
        <v>424</v>
      </c>
    </row>
    <row r="370" spans="1:1">
      <c r="A370" s="1" t="s">
        <v>425</v>
      </c>
    </row>
    <row r="372" spans="1:1">
      <c r="A372" s="1" t="s">
        <v>426</v>
      </c>
    </row>
    <row r="373" spans="1:1">
      <c r="A373" s="1" t="s">
        <v>427</v>
      </c>
    </row>
    <row r="374" spans="1:1">
      <c r="A374" s="1" t="s">
        <v>428</v>
      </c>
    </row>
    <row r="375" spans="1:1">
      <c r="A375" s="1" t="s">
        <v>429</v>
      </c>
    </row>
    <row r="376" spans="1:1">
      <c r="A376" s="1" t="s">
        <v>430</v>
      </c>
    </row>
    <row r="377" spans="1:1">
      <c r="A377" s="1" t="s">
        <v>431</v>
      </c>
    </row>
    <row r="378" spans="1:1">
      <c r="A378" s="1" t="s">
        <v>432</v>
      </c>
    </row>
    <row r="380" spans="1:1">
      <c r="A380" s="1" t="s">
        <v>433</v>
      </c>
    </row>
    <row r="381" spans="1:1">
      <c r="A381" s="1" t="s">
        <v>434</v>
      </c>
    </row>
    <row r="382" spans="1:1">
      <c r="A382" s="1" t="s">
        <v>435</v>
      </c>
    </row>
    <row r="383" spans="1:1">
      <c r="A383" s="1" t="s">
        <v>436</v>
      </c>
    </row>
    <row r="384" spans="1:1">
      <c r="A384" s="1" t="s">
        <v>437</v>
      </c>
    </row>
    <row r="385" spans="1:1">
      <c r="A385" s="1" t="s">
        <v>438</v>
      </c>
    </row>
    <row r="386" spans="1:1">
      <c r="A386" s="1" t="s">
        <v>439</v>
      </c>
    </row>
    <row r="387" spans="1:1">
      <c r="A387" s="1" t="s">
        <v>440</v>
      </c>
    </row>
    <row r="388" spans="1:1">
      <c r="A388" s="1" t="s">
        <v>441</v>
      </c>
    </row>
    <row r="389" spans="1:1">
      <c r="A389" s="1" t="s">
        <v>442</v>
      </c>
    </row>
    <row r="391" spans="1:1">
      <c r="A391" s="1" t="s">
        <v>443</v>
      </c>
    </row>
    <row r="392" spans="1:1">
      <c r="A392" s="1" t="s">
        <v>444</v>
      </c>
    </row>
    <row r="393" spans="1:1">
      <c r="A393" s="1" t="s">
        <v>445</v>
      </c>
    </row>
    <row r="394" spans="1:1">
      <c r="A394" s="1" t="s">
        <v>446</v>
      </c>
    </row>
    <row r="395" spans="1:1">
      <c r="A395" s="1" t="s">
        <v>447</v>
      </c>
    </row>
    <row r="396" spans="1:1">
      <c r="A396" s="1" t="s">
        <v>448</v>
      </c>
    </row>
    <row r="397" spans="1:1">
      <c r="A397" s="1" t="s">
        <v>449</v>
      </c>
    </row>
    <row r="398" spans="1:1">
      <c r="A398" s="1" t="s">
        <v>450</v>
      </c>
    </row>
    <row r="399" spans="1:1">
      <c r="A399" s="1" t="s">
        <v>451</v>
      </c>
    </row>
    <row r="402" spans="1:1">
      <c r="A402" s="1" t="s">
        <v>452</v>
      </c>
    </row>
    <row r="403" spans="1:1">
      <c r="A403" s="1" t="s">
        <v>453</v>
      </c>
    </row>
    <row r="404" spans="1:1">
      <c r="A404" s="1" t="s">
        <v>454</v>
      </c>
    </row>
    <row r="405" spans="1:1">
      <c r="A405" s="1" t="s">
        <v>455</v>
      </c>
    </row>
  </sheetData>
  <phoneticPr fontId="2" type="noConversion"/>
  <pageMargins left="0.75" right="0.75" top="1" bottom="1" header="0.5" footer="0.5"/>
  <pageSetup paperSize="267" orientation="portrait" horizontalDpi="4294967292" vertic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SLMSURV3</vt:lpstr>
      <vt:lpstr>Print_Area</vt:lpstr>
      <vt:lpstr>SLMSURV3!Print_Area_MI</vt:lpstr>
      <vt:lpstr>PRINT_AREA_MI</vt:lpstr>
    </vt:vector>
  </TitlesOfParts>
  <Company>SFBC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Finley</dc:creator>
  <cp:lastModifiedBy>Gene Davis</cp:lastModifiedBy>
  <dcterms:created xsi:type="dcterms:W3CDTF">2002-07-11T20:17:10Z</dcterms:created>
  <dcterms:modified xsi:type="dcterms:W3CDTF">2009-05-05T13:56:38Z</dcterms:modified>
</cp:coreProperties>
</file>